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<sst xmlns="http://schemas.openxmlformats.org/spreadsheetml/2006/main" count="165" uniqueCount="113">
  <si>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</si>
  <si>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</si>
  <si>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</si>
  <si>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</si>
  <si>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</si>
  <si>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</si>
  <si>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</si>
  <si>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</si>
  <si>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</si>
  <si>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</si>
  <si>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</si>
  <si>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</si>
  <si>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</si>
  <si>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</si>
  <si>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</si>
  <si>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</si>
  <si>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</si>
  <si>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</si>
  <si>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</si>
  <si>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</si>
  <si>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</si>
  <si>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</si>
  <si>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</si>
  <si>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</si>
  <si>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</si>
  <si>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</si>
  <si>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</si>
  <si>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</si>
  <si>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</si>
  <si>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</si>
  <si>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</si>
  <si>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</si>
  <si>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</si>
  <si>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</si>
  <si>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</si>
  <si>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</si>
  <si>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</si>
  <si>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</si>
  <si>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</si>
  <si>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</si>
  <si>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</si>
  <si>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</si>
  <si>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</si>
  <si>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</si>
  <si>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</si>
  <si>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</si>
  <si>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</si>
  <si>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</si>
  <si>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</si>
  <si>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</si>
  <si>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</si>
  <si>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</si>
  <si>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</si>
  <si>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</si>
  <si>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</si>
  <si>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</si>
  <si>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</si>
  <si>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</si>
  <si>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</si>
  <si>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</si>
  <si>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</si>
  <si>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</si>
  <si>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</si>
  <si>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</si>
  <si>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</si>
  <si>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</si>
  <si>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</si>
  <si>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</si>
  <si>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</si>
  <si>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</si>
  <si>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</si>
  <si>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</si>
  <si>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</si>
  <si>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</si>
  <si>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</si>
  <si>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</si>
  <si>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</si>
  <si>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</si>
  <si>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</si>
  <si>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</si>
  <si>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</si>
  <si>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</si>
  <si>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</si>
  <si>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</si>
  <si>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</si>
  <si>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</si>
  <si>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</si>
  <si>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</si>
  <si>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</si>
  <si>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</si>
  <si>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</si>
  <si>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</si>
  <si>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</si>
  <si>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</si>
  <si>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</si>
  <si>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</si>
  <si>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</si>
  <si>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</si>
  <si>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</si>
  <si>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</si>
  <si>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</si>
  <si>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</si>
  <si>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</si>
  <si>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</si>
  <si>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</si>
  <si>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</si>
  <si>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</si>
  <si>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</si>
  <si>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</si>
  <si>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</si>
  <si>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</si>
  <si>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</si>
  <si>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19.04.2018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</si>
</sst>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52036.50000000001</c:v>
                </c:pt>
                <c:pt idx="1">
                  <c:v>49856.209999999985</c:v>
                </c:pt>
                <c:pt idx="2">
                  <c:v>862.2</c:v>
                </c:pt>
                <c:pt idx="3">
                  <c:v>1318.0900000000227</c:v>
                </c:pt>
              </c:numCache>
            </c:numRef>
          </c:val>
          <c:shape val="box"/>
        </c:ser>
        <c:shape val="box"/>
        <c:axId val="60869002"/>
        <c:axId val="10950107"/>
      </c:bar3D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25"/>
          <c:w val="0.8435"/>
          <c:h val="0.68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223115.59999999995</c:v>
                </c:pt>
                <c:pt idx="1">
                  <c:v>62902</c:v>
                </c:pt>
                <c:pt idx="2">
                  <c:v>169313.7</c:v>
                </c:pt>
                <c:pt idx="3">
                  <c:v>8.8</c:v>
                </c:pt>
                <c:pt idx="4">
                  <c:v>7701.199999999999</c:v>
                </c:pt>
                <c:pt idx="5">
                  <c:v>40938.3</c:v>
                </c:pt>
                <c:pt idx="6">
                  <c:v>3630.2</c:v>
                </c:pt>
                <c:pt idx="7">
                  <c:v>1523.3999999999332</c:v>
                </c:pt>
              </c:numCache>
            </c:numRef>
          </c:val>
          <c:shape val="box"/>
        </c:ser>
        <c:shape val="box"/>
        <c:axId val="31442100"/>
        <c:axId val="14543445"/>
      </c:bar3D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115293.5</c:v>
                </c:pt>
                <c:pt idx="1">
                  <c:v>79770.3</c:v>
                </c:pt>
                <c:pt idx="2">
                  <c:v>115293.5</c:v>
                </c:pt>
              </c:numCache>
            </c:numRef>
          </c:val>
          <c:shape val="box"/>
        </c:ser>
        <c:shape val="box"/>
        <c:axId val="63782142"/>
        <c:axId val="37168367"/>
      </c:bar3D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5921.9</c:v>
                </c:pt>
                <c:pt idx="1">
                  <c:v>3293.2</c:v>
                </c:pt>
                <c:pt idx="2">
                  <c:v>6.8</c:v>
                </c:pt>
                <c:pt idx="3">
                  <c:v>538.8</c:v>
                </c:pt>
                <c:pt idx="4">
                  <c:v>93</c:v>
                </c:pt>
                <c:pt idx="5">
                  <c:v>20.4</c:v>
                </c:pt>
                <c:pt idx="6">
                  <c:v>1969.6999999999996</c:v>
                </c:pt>
              </c:numCache>
            </c:numRef>
          </c:val>
          <c:shape val="box"/>
        </c:ser>
        <c:shape val="box"/>
        <c:axId val="66079848"/>
        <c:axId val="57847721"/>
      </c:bar3D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625"/>
          <c:w val="0.86375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8403.5</c:v>
                </c:pt>
                <c:pt idx="1">
                  <c:v>4969.400000000001</c:v>
                </c:pt>
                <c:pt idx="3">
                  <c:v>239.90000000000003</c:v>
                </c:pt>
                <c:pt idx="4">
                  <c:v>311.00000000000006</c:v>
                </c:pt>
                <c:pt idx="5">
                  <c:v>440</c:v>
                </c:pt>
                <c:pt idx="6">
                  <c:v>2443.1999999999994</c:v>
                </c:pt>
              </c:numCache>
            </c:numRef>
          </c:val>
          <c:shape val="box"/>
        </c:ser>
        <c:shape val="box"/>
        <c:axId val="50867442"/>
        <c:axId val="55153795"/>
      </c:bar3D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53795"/>
        <c:crosses val="autoZero"/>
        <c:auto val="1"/>
        <c:lblOffset val="100"/>
        <c:tickLblSkip val="2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1033.6000000000001</c:v>
                </c:pt>
                <c:pt idx="1">
                  <c:v>801.7</c:v>
                </c:pt>
                <c:pt idx="3">
                  <c:v>159.2</c:v>
                </c:pt>
                <c:pt idx="4">
                  <c:v>0</c:v>
                </c:pt>
                <c:pt idx="5">
                  <c:v>72.7000000000001</c:v>
                </c:pt>
              </c:numCache>
            </c:numRef>
          </c:val>
          <c:shape val="box"/>
        </c:ser>
        <c:shape val="box"/>
        <c:axId val="26622108"/>
        <c:axId val="38272381"/>
      </c:bar3D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"/>
          <c:w val="0.852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9229.000000000002</c:v>
                </c:pt>
              </c:numCache>
            </c:numRef>
          </c:val>
          <c:shape val="box"/>
        </c:ser>
        <c:shape val="box"/>
        <c:axId val="8907110"/>
        <c:axId val="13055127"/>
      </c:bar3D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223115.59999999995</c:v>
                </c:pt>
                <c:pt idx="1">
                  <c:v>115293.5</c:v>
                </c:pt>
                <c:pt idx="2">
                  <c:v>5921.9</c:v>
                </c:pt>
                <c:pt idx="3">
                  <c:v>8403.5</c:v>
                </c:pt>
                <c:pt idx="4">
                  <c:v>1033.6000000000001</c:v>
                </c:pt>
                <c:pt idx="5">
                  <c:v>52036.50000000001</c:v>
                </c:pt>
                <c:pt idx="6">
                  <c:v>9229.000000000002</c:v>
                </c:pt>
              </c:numCache>
            </c:numRef>
          </c:val>
          <c:shape val="box"/>
        </c:ser>
        <c:shape val="box"/>
        <c:axId val="50387280"/>
        <c:axId val="50832337"/>
      </c:bar3D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231892.41000000003</c:v>
                </c:pt>
                <c:pt idx="1">
                  <c:v>47374.5</c:v>
                </c:pt>
                <c:pt idx="2">
                  <c:v>7966.199999999999</c:v>
                </c:pt>
                <c:pt idx="3">
                  <c:v>6909.099999999999</c:v>
                </c:pt>
                <c:pt idx="4">
                  <c:v>8.8</c:v>
                </c:pt>
                <c:pt idx="5">
                  <c:v>187657.98999999996</c:v>
                </c:pt>
              </c:numCache>
            </c:numRef>
          </c:val>
          <c:shape val="box"/>
        </c:ser>
        <c:shape val="box"/>
        <c:axId val="54837850"/>
        <c:axId val="23778603"/>
      </c:bar3D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5" sqref="K13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40</v>
      </c>
      <c r="B3" s="171" t="s">
        <v>109</v>
      </c>
      <c r="C3" s="165" t="s">
        <v>106</v>
      </c>
      <c r="D3" s="165" t="s">
        <v>22</v>
      </c>
      <c r="E3" s="165" t="s">
        <v>21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26</v>
      </c>
      <c r="B6" s="37">
        <f>281230.3-1768.4+16</f>
        <v>279477.89999999997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</f>
        <v>223115.59999999995</v>
      </c>
      <c r="E6" s="3">
        <f>D6/D153*100</f>
        <v>46.307893791938284</v>
      </c>
      <c r="F6" s="3">
        <f>D6/B6*100</f>
        <v>79.83300289575669</v>
      </c>
      <c r="G6" s="3">
        <f aca="true" t="shared" si="0" ref="G6:G43">D6/C6*100</f>
        <v>26.969095891338213</v>
      </c>
      <c r="H6" s="39">
        <f>B6-D6</f>
        <v>56362.30000000002</v>
      </c>
      <c r="I6" s="39">
        <f aca="true" t="shared" si="1" ref="I6:I43">C6-D6</f>
        <v>604185.4</v>
      </c>
      <c r="J6" s="163"/>
      <c r="K6" s="155"/>
    </row>
    <row r="7" spans="1:12" s="93" customFormat="1" ht="18">
      <c r="A7" s="141" t="s">
        <v>81</v>
      </c>
      <c r="B7" s="142">
        <v>78486.8</v>
      </c>
      <c r="C7" s="143">
        <v>262517.6</v>
      </c>
      <c r="D7" s="144">
        <f>8282.7+10875.2+9132.6+9963.6+4.3+9215.1+9968.6+5459.9</f>
        <v>62902</v>
      </c>
      <c r="E7" s="145">
        <f>D7/D6*100</f>
        <v>28.192560269205746</v>
      </c>
      <c r="F7" s="145">
        <f>D7/B7*100</f>
        <v>80.14341265028004</v>
      </c>
      <c r="G7" s="145">
        <f>D7/C7*100</f>
        <v>23.961060134634785</v>
      </c>
      <c r="H7" s="144">
        <f>B7-D7</f>
        <v>15584.800000000003</v>
      </c>
      <c r="I7" s="144">
        <f t="shared" si="1"/>
        <v>199615.59999999998</v>
      </c>
      <c r="K7" s="155"/>
      <c r="L7" s="140"/>
    </row>
    <row r="8" spans="1:12" s="92" customFormat="1" ht="18">
      <c r="A8" s="102" t="s">
        <v>3</v>
      </c>
      <c r="B8" s="127">
        <f>204238.5-1768.4</f>
        <v>202470.1</v>
      </c>
      <c r="C8" s="128">
        <f>649221.9+8415.5</f>
        <v>657637.4</v>
      </c>
      <c r="D8" s="104">
        <f>18784.8+17058.5+10875.2+340.5+963.8+9132.6+10728.8+20670.9+9963.6+30.7+4.3+37.1+20227.5+2+9968.6+19814.4+11230.1+9459.9+20.4</f>
        <v>169313.7</v>
      </c>
      <c r="E8" s="106">
        <f>D8/D6*100</f>
        <v>75.88608775002737</v>
      </c>
      <c r="F8" s="106">
        <f>D8/B8*100</f>
        <v>83.6240511561954</v>
      </c>
      <c r="G8" s="106">
        <f t="shared" si="0"/>
        <v>25.74575290273941</v>
      </c>
      <c r="H8" s="104">
        <f>B8-D8</f>
        <v>33156.399999999994</v>
      </c>
      <c r="I8" s="104">
        <f t="shared" si="1"/>
        <v>488323.7</v>
      </c>
      <c r="K8" s="155"/>
      <c r="L8" s="140"/>
    </row>
    <row r="9" spans="1:12" s="92" customFormat="1" ht="18">
      <c r="A9" s="102" t="s">
        <v>2</v>
      </c>
      <c r="B9" s="127">
        <v>30.8</v>
      </c>
      <c r="C9" s="128">
        <v>97.7</v>
      </c>
      <c r="D9" s="104">
        <f>3.4+5.4</f>
        <v>8.8</v>
      </c>
      <c r="E9" s="129">
        <f>D9/D6*100</f>
        <v>0.003944143753283053</v>
      </c>
      <c r="F9" s="106">
        <f>D9/B9*100</f>
        <v>28.571428571428577</v>
      </c>
      <c r="G9" s="106">
        <f t="shared" si="0"/>
        <v>9.007164790174002</v>
      </c>
      <c r="H9" s="104">
        <f aca="true" t="shared" si="2" ref="H9:H43">B9-D9</f>
        <v>22</v>
      </c>
      <c r="I9" s="104">
        <f t="shared" si="1"/>
        <v>88.9</v>
      </c>
      <c r="K9" s="155"/>
      <c r="L9" s="140"/>
    </row>
    <row r="10" spans="1:12" s="92" customFormat="1" ht="18">
      <c r="A10" s="102" t="s">
        <v>1</v>
      </c>
      <c r="B10" s="127">
        <v>15262.4</v>
      </c>
      <c r="C10" s="128">
        <f>52816.3-8415.5</f>
        <v>44400.8</v>
      </c>
      <c r="D10" s="146">
        <f>48.9+218.8+88.4+85.8+204.3+521.3+87.9+293.2+244.8+269.9+23.7+37.8+76.9+443.5+72.7+206+64-0.1+91.4+327.2+264.1+9.2+95.9+74.6+15.1+25+206.8+75.6+0.4+2993.6+83.8+354.8+44.3+30.2+21.4</f>
        <v>7701.199999999999</v>
      </c>
      <c r="E10" s="106">
        <f>D10/D6*100</f>
        <v>3.451663621907209</v>
      </c>
      <c r="F10" s="106">
        <f aca="true" t="shared" si="3" ref="F10:F41">D10/B10*100</f>
        <v>50.458643463675436</v>
      </c>
      <c r="G10" s="106">
        <f t="shared" si="0"/>
        <v>17.344732527341847</v>
      </c>
      <c r="H10" s="104">
        <f t="shared" si="2"/>
        <v>7561.200000000001</v>
      </c>
      <c r="I10" s="104">
        <f t="shared" si="1"/>
        <v>36699.600000000006</v>
      </c>
      <c r="K10" s="155"/>
      <c r="L10" s="140"/>
    </row>
    <row r="11" spans="1:12" s="92" customFormat="1" ht="18">
      <c r="A11" s="102" t="s">
        <v>0</v>
      </c>
      <c r="B11" s="127">
        <v>49159.6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</f>
        <v>40938.3</v>
      </c>
      <c r="E11" s="106">
        <f>D11/D6*100</f>
        <v>18.34847047898041</v>
      </c>
      <c r="F11" s="106">
        <f t="shared" si="3"/>
        <v>83.27630818802432</v>
      </c>
      <c r="G11" s="106">
        <f t="shared" si="0"/>
        <v>46.429835186520954</v>
      </c>
      <c r="H11" s="104">
        <f t="shared" si="2"/>
        <v>8221.299999999996</v>
      </c>
      <c r="I11" s="104">
        <f t="shared" si="1"/>
        <v>47234.09999999999</v>
      </c>
      <c r="K11" s="155"/>
      <c r="L11" s="140"/>
    </row>
    <row r="12" spans="1:12" s="92" customFormat="1" ht="18">
      <c r="A12" s="102" t="s">
        <v>14</v>
      </c>
      <c r="B12" s="127">
        <v>4334.4</v>
      </c>
      <c r="C12" s="128">
        <v>12738</v>
      </c>
      <c r="D12" s="104">
        <f>874.5+251.8+346.3+159.7+538.5+10.6+57+168.9+31.7+165.3+10.6+439.5+199.1+10.6+10.6+19+325.9+10.6</f>
        <v>3630.2</v>
      </c>
      <c r="E12" s="106">
        <f>D12/D6*100</f>
        <v>1.6270489378600155</v>
      </c>
      <c r="F12" s="106">
        <f t="shared" si="3"/>
        <v>83.75322997416022</v>
      </c>
      <c r="G12" s="106">
        <f t="shared" si="0"/>
        <v>28.49897943162192</v>
      </c>
      <c r="H12" s="104">
        <f>B12-D12</f>
        <v>704.1999999999998</v>
      </c>
      <c r="I12" s="104">
        <f t="shared" si="1"/>
        <v>9107.8</v>
      </c>
      <c r="K12" s="155"/>
      <c r="L12" s="140"/>
    </row>
    <row r="13" spans="1:12" s="92" customFormat="1" ht="18.75" thickBot="1">
      <c r="A13" s="102" t="s">
        <v>27</v>
      </c>
      <c r="B13" s="128">
        <f>B6-B8-B9-B10-B11-B12</f>
        <v>8220.599999999957</v>
      </c>
      <c r="C13" s="128">
        <f>C6-C8-C9-C10-C11-C12</f>
        <v>24254.699999999968</v>
      </c>
      <c r="D13" s="128">
        <f>D6-D8-D9-D10-D11-D12</f>
        <v>1523.3999999999332</v>
      </c>
      <c r="E13" s="106">
        <f>D13/D6*100</f>
        <v>0.6827850674717203</v>
      </c>
      <c r="F13" s="106">
        <f t="shared" si="3"/>
        <v>18.531494051528373</v>
      </c>
      <c r="G13" s="106">
        <f t="shared" si="0"/>
        <v>6.280844537347134</v>
      </c>
      <c r="H13" s="104">
        <f t="shared" si="2"/>
        <v>6697.2000000000235</v>
      </c>
      <c r="I13" s="104">
        <f t="shared" si="1"/>
        <v>22731.300000000036</v>
      </c>
      <c r="K13" s="155"/>
      <c r="L13" s="140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93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93"/>
      <c r="K15" s="11"/>
      <c r="L15" s="11"/>
      <c r="M15" s="11"/>
    </row>
    <row r="16" spans="1:13" s="32" customFormat="1" ht="18.7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93"/>
      <c r="K16" s="11"/>
      <c r="L16" s="11"/>
      <c r="M16" s="11"/>
    </row>
    <row r="17" spans="1:13" s="32" customFormat="1" ht="18.7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93"/>
      <c r="K17" s="11"/>
      <c r="L17" s="11"/>
      <c r="M17" s="11"/>
    </row>
    <row r="18" spans="1:11" ht="18.75" thickBot="1">
      <c r="A18" s="20" t="s">
        <v>19</v>
      </c>
      <c r="B18" s="37">
        <v>143030.1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</f>
        <v>115293.5</v>
      </c>
      <c r="E18" s="3">
        <f>D18/D153*100</f>
        <v>23.92929563374698</v>
      </c>
      <c r="F18" s="3">
        <f>D18/B18*100</f>
        <v>80.6078580662392</v>
      </c>
      <c r="G18" s="3">
        <f t="shared" si="0"/>
        <v>27.182150717373393</v>
      </c>
      <c r="H18" s="39">
        <f>B18-D18</f>
        <v>27736.600000000006</v>
      </c>
      <c r="I18" s="39">
        <f t="shared" si="1"/>
        <v>308858</v>
      </c>
      <c r="J18" s="92"/>
      <c r="K18" s="155"/>
    </row>
    <row r="19" spans="1:13" s="93" customFormat="1" ht="18">
      <c r="A19" s="141" t="s">
        <v>82</v>
      </c>
      <c r="B19" s="142">
        <v>88011.7</v>
      </c>
      <c r="C19" s="143">
        <v>226186</v>
      </c>
      <c r="D19" s="144">
        <f>10253+8836.7+83+81.4+67.5+107.8+99.9+68+670.4+333.8+10669.5+517.6+20+0.9+930.5+9161.8+16.3+11.4+213.8+133.4+10945.8+52.3+638.7+0.4+5306.6+6666.4+53.2+13.5+1487.6+379+624.4+10164.8+582.4+578+0.5</f>
        <v>79770.3</v>
      </c>
      <c r="E19" s="145">
        <f>D19/D18*100</f>
        <v>69.18889616500496</v>
      </c>
      <c r="F19" s="145">
        <f t="shared" si="3"/>
        <v>90.63601771128157</v>
      </c>
      <c r="G19" s="145">
        <f t="shared" si="0"/>
        <v>35.26756740028119</v>
      </c>
      <c r="H19" s="144">
        <f t="shared" si="2"/>
        <v>8241.399999999994</v>
      </c>
      <c r="I19" s="144">
        <f t="shared" si="1"/>
        <v>146415.7</v>
      </c>
      <c r="K19" s="155"/>
      <c r="L19" s="92"/>
      <c r="M19" s="92"/>
    </row>
    <row r="20" spans="1:11" s="92" customFormat="1" ht="18" hidden="1">
      <c r="A20" s="102" t="s">
        <v>5</v>
      </c>
      <c r="B20" s="127"/>
      <c r="C20" s="128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5">
        <f>C20-B20</f>
        <v>0</v>
      </c>
    </row>
    <row r="21" spans="1:11" s="92" customFormat="1" ht="18" hidden="1">
      <c r="A21" s="102" t="s">
        <v>2</v>
      </c>
      <c r="B21" s="127"/>
      <c r="C21" s="128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5">
        <f>C21-B21</f>
        <v>0</v>
      </c>
    </row>
    <row r="22" spans="1:11" s="92" customFormat="1" ht="18" hidden="1">
      <c r="A22" s="102" t="s">
        <v>1</v>
      </c>
      <c r="B22" s="127"/>
      <c r="C22" s="128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5">
        <f>C22-B22</f>
        <v>0</v>
      </c>
    </row>
    <row r="23" spans="1:11" s="92" customFormat="1" ht="18" hidden="1">
      <c r="A23" s="102" t="s">
        <v>0</v>
      </c>
      <c r="B23" s="127"/>
      <c r="C23" s="128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5">
        <f>C23-B23</f>
        <v>0</v>
      </c>
    </row>
    <row r="24" spans="1:11" s="92" customFormat="1" ht="18" hidden="1">
      <c r="A24" s="102" t="s">
        <v>14</v>
      </c>
      <c r="B24" s="127"/>
      <c r="C24" s="128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5">
        <f>C24-B24</f>
        <v>0</v>
      </c>
    </row>
    <row r="25" spans="1:11" s="92" customFormat="1" ht="18.75" thickBot="1">
      <c r="A25" s="102" t="s">
        <v>27</v>
      </c>
      <c r="B25" s="128">
        <f>B18</f>
        <v>143030.1</v>
      </c>
      <c r="C25" s="128">
        <f>C18</f>
        <v>424151.5</v>
      </c>
      <c r="D25" s="128">
        <f>D18</f>
        <v>115293.5</v>
      </c>
      <c r="E25" s="106">
        <f>D25/D18*100</f>
        <v>100</v>
      </c>
      <c r="F25" s="106">
        <f t="shared" si="3"/>
        <v>80.6078580662392</v>
      </c>
      <c r="G25" s="106">
        <f t="shared" si="0"/>
        <v>27.182150717373393</v>
      </c>
      <c r="H25" s="104">
        <f t="shared" si="2"/>
        <v>27736.600000000006</v>
      </c>
      <c r="I25" s="104">
        <f t="shared" si="1"/>
        <v>308858</v>
      </c>
      <c r="K25" s="155"/>
    </row>
    <row r="26" spans="1:11" ht="55.5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2"/>
      <c r="K26" s="155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2"/>
      <c r="K27" s="155">
        <f t="shared" si="4"/>
        <v>0</v>
      </c>
    </row>
    <row r="28" spans="1:11" ht="18.7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2"/>
      <c r="K28" s="155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2"/>
      <c r="K29" s="155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2"/>
      <c r="K30" s="155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2"/>
      <c r="K31" s="155">
        <f t="shared" si="4"/>
        <v>0</v>
      </c>
    </row>
    <row r="32" spans="1:11" ht="18.7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2"/>
      <c r="K32" s="155">
        <f t="shared" si="4"/>
        <v>0</v>
      </c>
    </row>
    <row r="33" spans="1:11" ht="18.75" thickBot="1">
      <c r="A33" s="20" t="s">
        <v>17</v>
      </c>
      <c r="B33" s="37">
        <v>8443.4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</f>
        <v>5921.9</v>
      </c>
      <c r="E33" s="3">
        <f>D33/D153*100</f>
        <v>1.229097007320328</v>
      </c>
      <c r="F33" s="3">
        <f>D33/B33*100</f>
        <v>70.13643792784897</v>
      </c>
      <c r="G33" s="3">
        <f t="shared" si="0"/>
        <v>23.873719517357316</v>
      </c>
      <c r="H33" s="39">
        <f t="shared" si="2"/>
        <v>2521.5</v>
      </c>
      <c r="I33" s="39">
        <f t="shared" si="1"/>
        <v>18883.199999999997</v>
      </c>
      <c r="J33" s="162"/>
      <c r="K33" s="155"/>
    </row>
    <row r="34" spans="1:11" s="92" customFormat="1" ht="18">
      <c r="A34" s="102" t="s">
        <v>3</v>
      </c>
      <c r="B34" s="127">
        <v>4086.6</v>
      </c>
      <c r="C34" s="128">
        <v>12906.6</v>
      </c>
      <c r="D34" s="104">
        <f>364.6+548.1+389.3+522.2+63+395+556.7+63+391.3</f>
        <v>3293.2</v>
      </c>
      <c r="E34" s="106">
        <f>D34/D33*100</f>
        <v>55.61053040409328</v>
      </c>
      <c r="F34" s="106">
        <f t="shared" si="3"/>
        <v>80.58532765624236</v>
      </c>
      <c r="G34" s="106">
        <f t="shared" si="0"/>
        <v>25.515627663366026</v>
      </c>
      <c r="H34" s="104">
        <f t="shared" si="2"/>
        <v>793.4000000000001</v>
      </c>
      <c r="I34" s="104">
        <f t="shared" si="1"/>
        <v>9613.400000000001</v>
      </c>
      <c r="K34" s="155"/>
    </row>
    <row r="35" spans="1:11" s="92" customFormat="1" ht="18">
      <c r="A35" s="102" t="s">
        <v>1</v>
      </c>
      <c r="B35" s="127">
        <v>27</v>
      </c>
      <c r="C35" s="128">
        <v>81.1</v>
      </c>
      <c r="D35" s="104">
        <v>6.8</v>
      </c>
      <c r="E35" s="106">
        <f>D35/D33*100</f>
        <v>0.11482801128016346</v>
      </c>
      <c r="F35" s="106">
        <f t="shared" si="3"/>
        <v>25.185185185185183</v>
      </c>
      <c r="G35" s="106">
        <f t="shared" si="0"/>
        <v>8.384710234278668</v>
      </c>
      <c r="H35" s="104">
        <f t="shared" si="2"/>
        <v>20.2</v>
      </c>
      <c r="I35" s="104">
        <f t="shared" si="1"/>
        <v>74.3</v>
      </c>
      <c r="K35" s="155"/>
    </row>
    <row r="36" spans="1:11" s="92" customFormat="1" ht="18">
      <c r="A36" s="102" t="s">
        <v>0</v>
      </c>
      <c r="B36" s="127">
        <v>965</v>
      </c>
      <c r="C36" s="128">
        <v>1783</v>
      </c>
      <c r="D36" s="104">
        <f>0.3+11.3+141.7+12.6+0.9+12.9+1.3+0.5+169.4+1.1+0.1+0.4+11.3+166.1+3.8+5.1</f>
        <v>538.8</v>
      </c>
      <c r="E36" s="106">
        <f>D36/D33*100</f>
        <v>9.098431246728246</v>
      </c>
      <c r="F36" s="106">
        <f t="shared" si="3"/>
        <v>55.8341968911917</v>
      </c>
      <c r="G36" s="106">
        <f t="shared" si="0"/>
        <v>30.218732473359506</v>
      </c>
      <c r="H36" s="104">
        <f t="shared" si="2"/>
        <v>426.20000000000005</v>
      </c>
      <c r="I36" s="104">
        <f t="shared" si="1"/>
        <v>1244.2</v>
      </c>
      <c r="K36" s="155"/>
    </row>
    <row r="37" spans="1:12" s="93" customFormat="1" ht="18">
      <c r="A37" s="118" t="s">
        <v>7</v>
      </c>
      <c r="B37" s="138">
        <v>293.1</v>
      </c>
      <c r="C37" s="139">
        <v>1008</v>
      </c>
      <c r="D37" s="109">
        <f>44.8+25.1+1.6+0.5+2.7+1+6.3+8.5+2.5</f>
        <v>93</v>
      </c>
      <c r="E37" s="113">
        <f>D37/D33*100</f>
        <v>1.5704419189787062</v>
      </c>
      <c r="F37" s="113">
        <f t="shared" si="3"/>
        <v>31.72978505629478</v>
      </c>
      <c r="G37" s="113">
        <f t="shared" si="0"/>
        <v>9.226190476190476</v>
      </c>
      <c r="H37" s="109">
        <f t="shared" si="2"/>
        <v>200.10000000000002</v>
      </c>
      <c r="I37" s="109">
        <f t="shared" si="1"/>
        <v>915</v>
      </c>
      <c r="K37" s="155"/>
      <c r="L37" s="140"/>
    </row>
    <row r="38" spans="1:11" s="92" customFormat="1" ht="18">
      <c r="A38" s="102" t="s">
        <v>14</v>
      </c>
      <c r="B38" s="127">
        <v>20.4</v>
      </c>
      <c r="C38" s="128">
        <v>80.8</v>
      </c>
      <c r="D38" s="128">
        <f>5.1+5.1+5.1+5.1</f>
        <v>20.4</v>
      </c>
      <c r="E38" s="106">
        <f>D38/D33*100</f>
        <v>0.34448403384049037</v>
      </c>
      <c r="F38" s="106">
        <f t="shared" si="3"/>
        <v>100</v>
      </c>
      <c r="G38" s="106">
        <f t="shared" si="0"/>
        <v>25.247524752475247</v>
      </c>
      <c r="H38" s="104">
        <f t="shared" si="2"/>
        <v>0</v>
      </c>
      <c r="I38" s="104">
        <f t="shared" si="1"/>
        <v>60.4</v>
      </c>
      <c r="K38" s="155"/>
    </row>
    <row r="39" spans="1:11" s="92" customFormat="1" ht="18.75" thickBot="1">
      <c r="A39" s="102" t="s">
        <v>27</v>
      </c>
      <c r="B39" s="127">
        <f>B33-B34-B36-B37-B35-B38</f>
        <v>3051.2999999999993</v>
      </c>
      <c r="C39" s="127">
        <f>C33-C34-C36-C37-C35-C38</f>
        <v>8945.599999999999</v>
      </c>
      <c r="D39" s="127">
        <f>D33-D34-D36-D37-D35-D38</f>
        <v>1969.6999999999996</v>
      </c>
      <c r="E39" s="106">
        <f>D39/D33*100</f>
        <v>33.26128438507911</v>
      </c>
      <c r="F39" s="106">
        <f t="shared" si="3"/>
        <v>64.55281355487826</v>
      </c>
      <c r="G39" s="106">
        <f t="shared" si="0"/>
        <v>22.0186460382758</v>
      </c>
      <c r="H39" s="104">
        <f>B39-D39</f>
        <v>1081.5999999999997</v>
      </c>
      <c r="I39" s="104">
        <f t="shared" si="1"/>
        <v>6975.899999999999</v>
      </c>
      <c r="K39" s="155"/>
    </row>
    <row r="40" spans="1:11" ht="18.7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92"/>
      <c r="K40" s="155">
        <f>C40-B40</f>
        <v>0</v>
      </c>
    </row>
    <row r="41" spans="1:11" ht="18.7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92"/>
      <c r="K41" s="155">
        <f>C41-B41</f>
        <v>0</v>
      </c>
    </row>
    <row r="42" spans="1:11" ht="18.7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92"/>
      <c r="K42" s="155">
        <f>C42-B42</f>
        <v>0</v>
      </c>
    </row>
    <row r="43" spans="1:11" ht="18.75" thickBot="1">
      <c r="A43" s="12" t="s">
        <v>16</v>
      </c>
      <c r="B43" s="75">
        <f>846.5+87</f>
        <v>933.5</v>
      </c>
      <c r="C43" s="38">
        <f>1126.9+467</f>
        <v>1593.9</v>
      </c>
      <c r="D43" s="39">
        <f>63.9+1.1+0.6+70.8+0.5+48+6.7</f>
        <v>191.59999999999997</v>
      </c>
      <c r="E43" s="3">
        <f>D43/D153*100</f>
        <v>0.03976679555591531</v>
      </c>
      <c r="F43" s="3">
        <f>D43/B43*100</f>
        <v>20.52490626673808</v>
      </c>
      <c r="G43" s="3">
        <f t="shared" si="0"/>
        <v>12.020829412133757</v>
      </c>
      <c r="H43" s="39">
        <f t="shared" si="2"/>
        <v>741.9000000000001</v>
      </c>
      <c r="I43" s="39">
        <f t="shared" si="1"/>
        <v>1402.3000000000002</v>
      </c>
      <c r="J43" s="92"/>
      <c r="K43" s="155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2"/>
      <c r="K44" s="155"/>
    </row>
    <row r="45" spans="1:11" ht="18.75" thickBot="1">
      <c r="A45" s="20" t="s">
        <v>44</v>
      </c>
      <c r="B45" s="37">
        <v>4560.2</v>
      </c>
      <c r="C45" s="38">
        <v>13576.3</v>
      </c>
      <c r="D45" s="39">
        <f>237.1+562.8+52.3+349.2+679.9+375.9+891+78.3+327.4</f>
        <v>3553.9</v>
      </c>
      <c r="E45" s="3">
        <f>D45/D153*100</f>
        <v>0.7376159432472205</v>
      </c>
      <c r="F45" s="3">
        <f>D45/B45*100</f>
        <v>77.9329853953774</v>
      </c>
      <c r="G45" s="3">
        <f aca="true" t="shared" si="5" ref="G45:G76">D45/C45*100</f>
        <v>26.17723532921341</v>
      </c>
      <c r="H45" s="39">
        <f>B45-D45</f>
        <v>1006.2999999999997</v>
      </c>
      <c r="I45" s="39">
        <f aca="true" t="shared" si="6" ref="I45:I77">C45-D45</f>
        <v>10022.4</v>
      </c>
      <c r="J45" s="92"/>
      <c r="K45" s="155"/>
    </row>
    <row r="46" spans="1:11" s="92" customFormat="1" ht="18">
      <c r="A46" s="102" t="s">
        <v>3</v>
      </c>
      <c r="B46" s="127">
        <v>3938.4</v>
      </c>
      <c r="C46" s="128">
        <v>12256.4</v>
      </c>
      <c r="D46" s="104">
        <f>237.1+551.8+334.1+652.5+314.7+746.1+319.2</f>
        <v>3155.4999999999995</v>
      </c>
      <c r="E46" s="106">
        <f>D46/D45*100</f>
        <v>88.78978024142489</v>
      </c>
      <c r="F46" s="106">
        <f aca="true" t="shared" si="7" ref="F46:F74">D46/B46*100</f>
        <v>80.12136908389192</v>
      </c>
      <c r="G46" s="106">
        <f t="shared" si="5"/>
        <v>25.745732841617436</v>
      </c>
      <c r="H46" s="104">
        <f aca="true" t="shared" si="8" ref="H46:H74">B46-D46</f>
        <v>782.9000000000005</v>
      </c>
      <c r="I46" s="104">
        <f t="shared" si="6"/>
        <v>9100.9</v>
      </c>
      <c r="K46" s="155"/>
    </row>
    <row r="47" spans="1:11" s="92" customFormat="1" ht="18">
      <c r="A47" s="102" t="s">
        <v>2</v>
      </c>
      <c r="B47" s="127">
        <v>0.8</v>
      </c>
      <c r="C47" s="128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5"/>
    </row>
    <row r="48" spans="1:11" s="92" customFormat="1" ht="18">
      <c r="A48" s="102" t="s">
        <v>1</v>
      </c>
      <c r="B48" s="127">
        <v>29.8</v>
      </c>
      <c r="C48" s="128">
        <v>98.9</v>
      </c>
      <c r="D48" s="104">
        <f>5.7+6.1+6.5</f>
        <v>18.3</v>
      </c>
      <c r="E48" s="106">
        <f>D48/D45*100</f>
        <v>0.5149272630068376</v>
      </c>
      <c r="F48" s="106">
        <f t="shared" si="7"/>
        <v>61.40939597315437</v>
      </c>
      <c r="G48" s="106">
        <f t="shared" si="5"/>
        <v>18.503538928210315</v>
      </c>
      <c r="H48" s="104">
        <f t="shared" si="8"/>
        <v>11.5</v>
      </c>
      <c r="I48" s="104">
        <f t="shared" si="6"/>
        <v>80.60000000000001</v>
      </c>
      <c r="K48" s="155"/>
    </row>
    <row r="49" spans="1:11" s="92" customFormat="1" ht="18">
      <c r="A49" s="102" t="s">
        <v>0</v>
      </c>
      <c r="B49" s="127">
        <v>495.8</v>
      </c>
      <c r="C49" s="128">
        <v>879.8</v>
      </c>
      <c r="D49" s="104">
        <f>7.3+51.9+12.7-0.1+54.5+131.2+49.5</f>
        <v>307</v>
      </c>
      <c r="E49" s="106">
        <f>D49/D45*100</f>
        <v>8.638397253721264</v>
      </c>
      <c r="F49" s="106">
        <f t="shared" si="7"/>
        <v>61.920129084308186</v>
      </c>
      <c r="G49" s="106">
        <f t="shared" si="5"/>
        <v>34.89429415776313</v>
      </c>
      <c r="H49" s="104">
        <f t="shared" si="8"/>
        <v>188.8</v>
      </c>
      <c r="I49" s="104">
        <f t="shared" si="6"/>
        <v>572.8</v>
      </c>
      <c r="K49" s="155"/>
    </row>
    <row r="50" spans="1:11" s="92" customFormat="1" ht="18.75" thickBot="1">
      <c r="A50" s="102" t="s">
        <v>27</v>
      </c>
      <c r="B50" s="128">
        <f>B45-B46-B49-B48-B47</f>
        <v>95.39999999999972</v>
      </c>
      <c r="C50" s="128">
        <f>C45-C46-C49-C48-C47</f>
        <v>339.6999999999997</v>
      </c>
      <c r="D50" s="128">
        <f>D45-D46-D49-D48-D47</f>
        <v>73.10000000000055</v>
      </c>
      <c r="E50" s="106">
        <f>D50/D45*100</f>
        <v>2.056895241847</v>
      </c>
      <c r="F50" s="106">
        <f t="shared" si="7"/>
        <v>76.62473794549346</v>
      </c>
      <c r="G50" s="106">
        <f t="shared" si="5"/>
        <v>21.518987341772334</v>
      </c>
      <c r="H50" s="104">
        <f t="shared" si="8"/>
        <v>22.299999999999173</v>
      </c>
      <c r="I50" s="104">
        <f t="shared" si="6"/>
        <v>266.59999999999917</v>
      </c>
      <c r="K50" s="155"/>
    </row>
    <row r="51" spans="1:11" ht="18.75" thickBot="1">
      <c r="A51" s="20" t="s">
        <v>4</v>
      </c>
      <c r="B51" s="37">
        <v>10601.9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</f>
        <v>8403.5</v>
      </c>
      <c r="E51" s="3">
        <f>D51/D153*100</f>
        <v>1.744155879196943</v>
      </c>
      <c r="F51" s="3">
        <f>D51/B51*100</f>
        <v>79.2640941717994</v>
      </c>
      <c r="G51" s="3">
        <f t="shared" si="5"/>
        <v>22.629350969694684</v>
      </c>
      <c r="H51" s="39">
        <f>B51-D51</f>
        <v>2198.3999999999996</v>
      </c>
      <c r="I51" s="39">
        <f t="shared" si="6"/>
        <v>28731.9</v>
      </c>
      <c r="J51" s="92"/>
      <c r="K51" s="155"/>
    </row>
    <row r="52" spans="1:11" s="92" customFormat="1" ht="18">
      <c r="A52" s="102" t="s">
        <v>3</v>
      </c>
      <c r="B52" s="127">
        <v>6074.9</v>
      </c>
      <c r="C52" s="128">
        <v>20097.4</v>
      </c>
      <c r="D52" s="104">
        <f>632.9+34.3+767.3+737.6+710.6+649.6+792.4+1.6+643.1</f>
        <v>4969.400000000001</v>
      </c>
      <c r="E52" s="106">
        <f>D52/D51*100</f>
        <v>59.13488427440948</v>
      </c>
      <c r="F52" s="106">
        <f t="shared" si="7"/>
        <v>81.80216958303842</v>
      </c>
      <c r="G52" s="106">
        <f t="shared" si="5"/>
        <v>24.726581547861915</v>
      </c>
      <c r="H52" s="104">
        <f t="shared" si="8"/>
        <v>1105.499999999999</v>
      </c>
      <c r="I52" s="104">
        <f t="shared" si="6"/>
        <v>15128</v>
      </c>
      <c r="K52" s="155"/>
    </row>
    <row r="53" spans="1:11" s="92" customFormat="1" ht="18">
      <c r="A53" s="102" t="s">
        <v>2</v>
      </c>
      <c r="B53" s="127">
        <v>0</v>
      </c>
      <c r="C53" s="128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5"/>
    </row>
    <row r="54" spans="1:11" s="92" customFormat="1" ht="18">
      <c r="A54" s="102" t="s">
        <v>1</v>
      </c>
      <c r="B54" s="127">
        <v>325.5</v>
      </c>
      <c r="C54" s="128">
        <v>993.6</v>
      </c>
      <c r="D54" s="104">
        <f>0.2+4.2+9+4.7+9.6+6.3+43.2+2.7+18.4+3.8+23.8+5.3+12.2+43.2+26.7+3.8+22.4+0.4</f>
        <v>239.90000000000003</v>
      </c>
      <c r="E54" s="106">
        <f>D54/D51*100</f>
        <v>2.85476289641221</v>
      </c>
      <c r="F54" s="106">
        <f t="shared" si="7"/>
        <v>73.70199692780339</v>
      </c>
      <c r="G54" s="106">
        <f t="shared" si="5"/>
        <v>24.144524959742352</v>
      </c>
      <c r="H54" s="104">
        <f t="shared" si="8"/>
        <v>85.59999999999997</v>
      </c>
      <c r="I54" s="104">
        <f t="shared" si="6"/>
        <v>753.7</v>
      </c>
      <c r="K54" s="155"/>
    </row>
    <row r="55" spans="1:11" s="92" customFormat="1" ht="18">
      <c r="A55" s="102" t="s">
        <v>0</v>
      </c>
      <c r="B55" s="127">
        <v>485.1</v>
      </c>
      <c r="C55" s="128">
        <v>1219.9</v>
      </c>
      <c r="D55" s="104">
        <f>0.5+1+2.8+12.3+8.3+0.5+0.4+8.7+15+0.3+1.3+64.9+33.6+8.1+0.1+94.7+0.3+9.8+7.8+0.9+1.8+16.2+18.3+3.3+0.1</f>
        <v>311.00000000000006</v>
      </c>
      <c r="E55" s="106">
        <f>D55/D51*100</f>
        <v>3.700838936157554</v>
      </c>
      <c r="F55" s="106">
        <f t="shared" si="7"/>
        <v>64.11049268192126</v>
      </c>
      <c r="G55" s="106">
        <f t="shared" si="5"/>
        <v>25.493892942044432</v>
      </c>
      <c r="H55" s="104">
        <f t="shared" si="8"/>
        <v>174.09999999999997</v>
      </c>
      <c r="I55" s="104">
        <f t="shared" si="6"/>
        <v>908.9000000000001</v>
      </c>
      <c r="K55" s="155"/>
    </row>
    <row r="56" spans="1:11" s="92" customFormat="1" ht="18">
      <c r="A56" s="102" t="s">
        <v>14</v>
      </c>
      <c r="B56" s="127">
        <v>440</v>
      </c>
      <c r="C56" s="128">
        <v>1320</v>
      </c>
      <c r="D56" s="128">
        <f>110+110+110+110</f>
        <v>440</v>
      </c>
      <c r="E56" s="106">
        <f>D56/D51*100</f>
        <v>5.235913607425478</v>
      </c>
      <c r="F56" s="106">
        <f>D56/B56*100</f>
        <v>100</v>
      </c>
      <c r="G56" s="106">
        <f>D56/C56*100</f>
        <v>33.33333333333333</v>
      </c>
      <c r="H56" s="104">
        <f t="shared" si="8"/>
        <v>0</v>
      </c>
      <c r="I56" s="104">
        <f t="shared" si="6"/>
        <v>880</v>
      </c>
      <c r="K56" s="155"/>
    </row>
    <row r="57" spans="1:11" s="92" customFormat="1" ht="18.75" thickBot="1">
      <c r="A57" s="102" t="s">
        <v>27</v>
      </c>
      <c r="B57" s="128">
        <f>B51-B52-B55-B54-B53-B56</f>
        <v>3276.4</v>
      </c>
      <c r="C57" s="128">
        <f>C51-C52-C55-C54-C53-C56</f>
        <v>13490.6</v>
      </c>
      <c r="D57" s="128">
        <f>D51-D52-D55-D54-D53-D56</f>
        <v>2443.1999999999994</v>
      </c>
      <c r="E57" s="106">
        <f>D57/D51*100</f>
        <v>29.07360028559528</v>
      </c>
      <c r="F57" s="106">
        <f t="shared" si="7"/>
        <v>74.56964961543156</v>
      </c>
      <c r="G57" s="106">
        <f t="shared" si="5"/>
        <v>18.110387973848454</v>
      </c>
      <c r="H57" s="104">
        <f>B57-D57</f>
        <v>833.2000000000007</v>
      </c>
      <c r="I57" s="104">
        <f>C57-D57</f>
        <v>11047.400000000001</v>
      </c>
      <c r="K57" s="155"/>
    </row>
    <row r="58" spans="1:11" s="32" customFormat="1" ht="18.7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93"/>
      <c r="K58" s="155">
        <f>C58-B58</f>
        <v>0</v>
      </c>
    </row>
    <row r="59" spans="1:11" ht="18.75" thickBot="1">
      <c r="A59" s="20" t="s">
        <v>6</v>
      </c>
      <c r="B59" s="37">
        <v>1312.6</v>
      </c>
      <c r="C59" s="38">
        <v>9264.2</v>
      </c>
      <c r="D59" s="39">
        <f>87.7+79.1+87.8+43.2+40.5+47.6+13+155.9+18+2.1+84.2+29.6+0.7+0.5+5.7+85.8+109.2+19+38.3+85.7</f>
        <v>1033.6000000000001</v>
      </c>
      <c r="E59" s="3">
        <f>D59/D153*100</f>
        <v>0.21452484283191062</v>
      </c>
      <c r="F59" s="3">
        <f>D59/B59*100</f>
        <v>78.74447661130583</v>
      </c>
      <c r="G59" s="3">
        <f t="shared" si="5"/>
        <v>11.156926663932126</v>
      </c>
      <c r="H59" s="39">
        <f>B59-D59</f>
        <v>278.9999999999998</v>
      </c>
      <c r="I59" s="39">
        <f t="shared" si="6"/>
        <v>8230.6</v>
      </c>
      <c r="J59" s="92"/>
      <c r="K59" s="155"/>
    </row>
    <row r="60" spans="1:11" s="92" customFormat="1" ht="18">
      <c r="A60" s="102" t="s">
        <v>3</v>
      </c>
      <c r="B60" s="127">
        <v>1003.3</v>
      </c>
      <c r="C60" s="128">
        <v>3119.7</v>
      </c>
      <c r="D60" s="104">
        <f>77.7+79.1+76.9+40.5+47.3+155.9+45+29.2+85.8+95.3+38.3+30.7</f>
        <v>801.7</v>
      </c>
      <c r="E60" s="106">
        <f>D60/D59*100</f>
        <v>77.56385448916409</v>
      </c>
      <c r="F60" s="106">
        <f t="shared" si="7"/>
        <v>79.90630917970698</v>
      </c>
      <c r="G60" s="106">
        <f t="shared" si="5"/>
        <v>25.697983780491718</v>
      </c>
      <c r="H60" s="104">
        <f t="shared" si="8"/>
        <v>201.5999999999999</v>
      </c>
      <c r="I60" s="104">
        <f t="shared" si="6"/>
        <v>2318</v>
      </c>
      <c r="K60" s="155"/>
    </row>
    <row r="61" spans="1:11" s="92" customFormat="1" ht="18">
      <c r="A61" s="102" t="s">
        <v>1</v>
      </c>
      <c r="B61" s="127">
        <v>0</v>
      </c>
      <c r="C61" s="128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5"/>
    </row>
    <row r="62" spans="1:11" s="92" customFormat="1" ht="18">
      <c r="A62" s="102" t="s">
        <v>0</v>
      </c>
      <c r="B62" s="127">
        <v>208.3</v>
      </c>
      <c r="C62" s="128">
        <v>393.7</v>
      </c>
      <c r="D62" s="104">
        <f>10.9+43.2+13-3+39.2+5.7+50.2</f>
        <v>159.2</v>
      </c>
      <c r="E62" s="106">
        <f>D62/D59*100</f>
        <v>15.402476780185756</v>
      </c>
      <c r="F62" s="106">
        <f t="shared" si="7"/>
        <v>76.42822851656264</v>
      </c>
      <c r="G62" s="106">
        <f t="shared" si="5"/>
        <v>40.436880873761744</v>
      </c>
      <c r="H62" s="104">
        <f t="shared" si="8"/>
        <v>49.10000000000002</v>
      </c>
      <c r="I62" s="104">
        <f t="shared" si="6"/>
        <v>234.5</v>
      </c>
      <c r="K62" s="155"/>
    </row>
    <row r="63" spans="1:11" s="92" customFormat="1" ht="18">
      <c r="A63" s="102" t="s">
        <v>14</v>
      </c>
      <c r="B63" s="127">
        <v>0</v>
      </c>
      <c r="C63" s="128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5"/>
    </row>
    <row r="64" spans="1:11" s="92" customFormat="1" ht="18.75" thickBot="1">
      <c r="A64" s="102" t="s">
        <v>27</v>
      </c>
      <c r="B64" s="128">
        <f>B59-B60-B62-B63-B61</f>
        <v>100.99999999999994</v>
      </c>
      <c r="C64" s="128">
        <f>C59-C60-C62-C63-C61</f>
        <v>523.5000000000007</v>
      </c>
      <c r="D64" s="128">
        <f>D59-D60-D62-D63-D61</f>
        <v>72.7000000000001</v>
      </c>
      <c r="E64" s="106">
        <f>D64/D59*100</f>
        <v>7.033668730650164</v>
      </c>
      <c r="F64" s="106">
        <f t="shared" si="7"/>
        <v>71.98019801980212</v>
      </c>
      <c r="G64" s="106">
        <f t="shared" si="5"/>
        <v>13.887297039159504</v>
      </c>
      <c r="H64" s="104">
        <f t="shared" si="8"/>
        <v>28.29999999999984</v>
      </c>
      <c r="I64" s="104">
        <f t="shared" si="6"/>
        <v>450.8000000000006</v>
      </c>
      <c r="K64" s="155"/>
    </row>
    <row r="65" spans="1:11" s="32" customFormat="1" ht="18.7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93"/>
      <c r="K65" s="155">
        <f>C65-B65</f>
        <v>0</v>
      </c>
    </row>
    <row r="66" spans="1:11" s="32" customFormat="1" ht="18.7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93"/>
      <c r="K66" s="155">
        <f>C66-B66</f>
        <v>0</v>
      </c>
    </row>
    <row r="67" spans="1:11" s="32" customFormat="1" ht="18.7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93"/>
      <c r="K67" s="155">
        <f>C67-B67</f>
        <v>0</v>
      </c>
    </row>
    <row r="68" spans="1:11" s="32" customFormat="1" ht="18.7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93"/>
      <c r="K68" s="155">
        <f>C68-B68</f>
        <v>0</v>
      </c>
    </row>
    <row r="69" spans="1:11" ht="18.75" thickBot="1">
      <c r="A69" s="20" t="s">
        <v>20</v>
      </c>
      <c r="B69" s="38">
        <f>B70+B71</f>
        <v>332.2</v>
      </c>
      <c r="C69" s="38">
        <f>C70+C71</f>
        <v>555.8</v>
      </c>
      <c r="D69" s="39">
        <f>D70+D71</f>
        <v>169.5</v>
      </c>
      <c r="E69" s="30">
        <f>D69/D153*100</f>
        <v>0.035179915692733016</v>
      </c>
      <c r="F69" s="3">
        <f>D69/B69*100</f>
        <v>51.023479831426855</v>
      </c>
      <c r="G69" s="3">
        <f t="shared" si="5"/>
        <v>30.49658150413818</v>
      </c>
      <c r="H69" s="39">
        <f>B69-D69</f>
        <v>162.7</v>
      </c>
      <c r="I69" s="39">
        <f t="shared" si="6"/>
        <v>386.29999999999995</v>
      </c>
      <c r="J69" s="92"/>
      <c r="K69" s="155"/>
    </row>
    <row r="70" spans="1:11" s="92" customFormat="1" ht="18">
      <c r="A70" s="102" t="s">
        <v>8</v>
      </c>
      <c r="B70" s="127">
        <v>242.2</v>
      </c>
      <c r="C70" s="128">
        <v>292.7</v>
      </c>
      <c r="D70" s="104">
        <v>169.5</v>
      </c>
      <c r="E70" s="106">
        <f>D70/D69*100</f>
        <v>100</v>
      </c>
      <c r="F70" s="106">
        <f t="shared" si="7"/>
        <v>69.98348472336912</v>
      </c>
      <c r="G70" s="106">
        <f t="shared" si="5"/>
        <v>57.90912196788521</v>
      </c>
      <c r="H70" s="104">
        <f t="shared" si="8"/>
        <v>72.69999999999999</v>
      </c>
      <c r="I70" s="104">
        <f t="shared" si="6"/>
        <v>123.19999999999999</v>
      </c>
      <c r="K70" s="155"/>
    </row>
    <row r="71" spans="1:11" s="92" customFormat="1" ht="18.75" thickBot="1">
      <c r="A71" s="102" t="s">
        <v>9</v>
      </c>
      <c r="B71" s="127">
        <v>90</v>
      </c>
      <c r="C71" s="128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5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2"/>
      <c r="K72" s="155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2"/>
      <c r="K73" s="155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2"/>
      <c r="K74" s="155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2"/>
      <c r="K75" s="155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2"/>
      <c r="K76" s="155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3"/>
      <c r="K77" s="155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92"/>
      <c r="K78" s="155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2"/>
      <c r="K79" s="155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7"/>
      <c r="K80" s="155"/>
    </row>
    <row r="81" spans="1:11" s="8" customFormat="1" ht="32.2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7"/>
      <c r="K81" s="155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7"/>
      <c r="K82" s="155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7"/>
      <c r="K83" s="155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2"/>
      <c r="K84" s="155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2"/>
      <c r="K85" s="155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2"/>
      <c r="K86" s="155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2"/>
      <c r="K87" s="155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2"/>
      <c r="K88" s="155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2"/>
      <c r="K89" s="155"/>
    </row>
    <row r="90" spans="1:11" ht="18.75" thickBot="1">
      <c r="A90" s="12" t="s">
        <v>10</v>
      </c>
      <c r="B90" s="44">
        <v>69140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</f>
        <v>52036.50000000001</v>
      </c>
      <c r="E90" s="3">
        <f>D90/D153*100</f>
        <v>10.800234117669035</v>
      </c>
      <c r="F90" s="3">
        <f aca="true" t="shared" si="11" ref="F90:F96">D90/B90*100</f>
        <v>75.2625108475557</v>
      </c>
      <c r="G90" s="3">
        <f t="shared" si="9"/>
        <v>25.681184454040718</v>
      </c>
      <c r="H90" s="39">
        <f aca="true" t="shared" si="12" ref="H90:H96">B90-D90</f>
        <v>17103.499999999993</v>
      </c>
      <c r="I90" s="39">
        <f t="shared" si="10"/>
        <v>150588.5</v>
      </c>
      <c r="J90" s="92"/>
      <c r="K90" s="155"/>
    </row>
    <row r="91" spans="1:11" s="92" customFormat="1" ht="18">
      <c r="A91" s="102" t="s">
        <v>3</v>
      </c>
      <c r="B91" s="127">
        <v>65125.6</v>
      </c>
      <c r="C91" s="128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</f>
        <v>49856.209999999985</v>
      </c>
      <c r="E91" s="106">
        <f>D91/D90*100</f>
        <v>95.81007561999746</v>
      </c>
      <c r="F91" s="106">
        <f t="shared" si="11"/>
        <v>76.5539357794784</v>
      </c>
      <c r="G91" s="106">
        <f t="shared" si="9"/>
        <v>26.24656165489096</v>
      </c>
      <c r="H91" s="104">
        <f t="shared" si="12"/>
        <v>15269.390000000014</v>
      </c>
      <c r="I91" s="104">
        <f t="shared" si="10"/>
        <v>140097.09</v>
      </c>
      <c r="K91" s="155"/>
    </row>
    <row r="92" spans="1:11" s="92" customFormat="1" ht="18">
      <c r="A92" s="102" t="s">
        <v>25</v>
      </c>
      <c r="B92" s="127">
        <v>1338.1</v>
      </c>
      <c r="C92" s="128">
        <v>2776.4</v>
      </c>
      <c r="D92" s="104">
        <f>57.2+3.4+167+1.4+0.3+83.4+86.9+53.1+5.3+4.7+17+71.3+284.2+22.2+4.8</f>
        <v>862.2</v>
      </c>
      <c r="E92" s="106">
        <f>D92/D90*100</f>
        <v>1.6569138969761608</v>
      </c>
      <c r="F92" s="106">
        <f t="shared" si="11"/>
        <v>64.43464614004934</v>
      </c>
      <c r="G92" s="106">
        <f t="shared" si="9"/>
        <v>31.054603083129233</v>
      </c>
      <c r="H92" s="104">
        <f t="shared" si="12"/>
        <v>475.89999999999986</v>
      </c>
      <c r="I92" s="104">
        <f t="shared" si="10"/>
        <v>1914.2</v>
      </c>
      <c r="K92" s="155"/>
    </row>
    <row r="93" spans="1:11" s="92" customFormat="1" ht="18" hidden="1">
      <c r="A93" s="102" t="s">
        <v>14</v>
      </c>
      <c r="B93" s="127"/>
      <c r="C93" s="128"/>
      <c r="D93" s="128"/>
      <c r="E93" s="129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5">
        <f aca="true" t="shared" si="13" ref="K93:K101">C93-B93</f>
        <v>0</v>
      </c>
    </row>
    <row r="94" spans="1:11" s="92" customFormat="1" ht="18.75" thickBot="1">
      <c r="A94" s="102" t="s">
        <v>27</v>
      </c>
      <c r="B94" s="128">
        <f>B90-B91-B92-B93</f>
        <v>2676.3000000000015</v>
      </c>
      <c r="C94" s="128">
        <f>C90-C91-C92-C93</f>
        <v>9895.300000000012</v>
      </c>
      <c r="D94" s="128">
        <f>D90-D91-D92-D93</f>
        <v>1318.0900000000227</v>
      </c>
      <c r="E94" s="106">
        <f>D94/D90*100</f>
        <v>2.5330104830263807</v>
      </c>
      <c r="F94" s="106">
        <f t="shared" si="11"/>
        <v>49.250457721481965</v>
      </c>
      <c r="G94" s="106">
        <f>D94/C94*100</f>
        <v>13.320364213313605</v>
      </c>
      <c r="H94" s="104">
        <f t="shared" si="12"/>
        <v>1358.209999999979</v>
      </c>
      <c r="I94" s="104">
        <f>C94-D94</f>
        <v>8577.20999999999</v>
      </c>
      <c r="K94" s="155"/>
    </row>
    <row r="95" spans="1:11" ht="18">
      <c r="A95" s="81" t="s">
        <v>12</v>
      </c>
      <c r="B95" s="90">
        <f>16905-346.5-1000</f>
        <v>15558.5</v>
      </c>
      <c r="C95" s="84">
        <f>46414.5+100+39.4+1153.5</f>
        <v>47707.4</v>
      </c>
      <c r="D95" s="83">
        <f>627.6+194.6+194.6+1234+510.7+28.2+0.5+182.1+337.6+34.8+102.9+588.2+1248.7+97.9+0.7+344.5+13.1+160.3+129.6+35.4+41.5+435.1+0.1+121.2+1271.9+622+440.2+48.6+182.4</f>
        <v>9229.000000000002</v>
      </c>
      <c r="E95" s="80">
        <f>D95/D153*100</f>
        <v>1.9154893329099296</v>
      </c>
      <c r="F95" s="82">
        <f t="shared" si="11"/>
        <v>59.31805765337277</v>
      </c>
      <c r="G95" s="79">
        <f>D95/C95*100</f>
        <v>19.34500727350474</v>
      </c>
      <c r="H95" s="83">
        <f t="shared" si="12"/>
        <v>6329.499999999998</v>
      </c>
      <c r="I95" s="86">
        <f>C95-D95</f>
        <v>38478.4</v>
      </c>
      <c r="J95" s="92"/>
      <c r="K95" s="155"/>
    </row>
    <row r="96" spans="1:11" s="92" customFormat="1" ht="18.75" thickBot="1">
      <c r="A96" s="130" t="s">
        <v>83</v>
      </c>
      <c r="B96" s="131">
        <v>4774.8</v>
      </c>
      <c r="C96" s="132">
        <v>12814.2</v>
      </c>
      <c r="D96" s="133">
        <f>194.6+1234+3.4+0.5+79.6+1026.4+0.7+86.4+939.3+4.2</f>
        <v>3569.0999999999995</v>
      </c>
      <c r="E96" s="134">
        <f>D96/D95*100</f>
        <v>38.67266226026654</v>
      </c>
      <c r="F96" s="135">
        <f t="shared" si="11"/>
        <v>74.74868057300827</v>
      </c>
      <c r="G96" s="136">
        <f>D96/C96*100</f>
        <v>27.852694666853957</v>
      </c>
      <c r="H96" s="137">
        <f t="shared" si="12"/>
        <v>1205.7000000000007</v>
      </c>
      <c r="I96" s="126">
        <f>C96-D96</f>
        <v>9245.100000000002</v>
      </c>
      <c r="K96" s="155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2"/>
      <c r="K97" s="155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2"/>
      <c r="K98" s="155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92"/>
      <c r="K99" s="155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8"/>
      <c r="K100" s="155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92"/>
      <c r="K101" s="155">
        <f t="shared" si="13"/>
        <v>0</v>
      </c>
    </row>
    <row r="102" spans="1:11" s="32" customFormat="1" ht="18.75" thickBot="1">
      <c r="A102" s="12" t="s">
        <v>11</v>
      </c>
      <c r="B102" s="89">
        <f>4203.6-9.3-7.3</f>
        <v>4187</v>
      </c>
      <c r="C102" s="69">
        <f>11266.5-91.2</f>
        <v>11175.3</v>
      </c>
      <c r="D102" s="64">
        <f>144.5+120.5+0.1+30.9+51.6+143.8+13.5+25.2+149.6+13.2+89.8+139.8+98.3+5.4+242.1+58+93.2+85.3+255.7+143.6+0.2+288+23.7+143.3+300.5+112.9+1.3+105.1+102.9</f>
        <v>2982.0000000000005</v>
      </c>
      <c r="E102" s="17">
        <f>D102/D153*100</f>
        <v>0.6189174548420641</v>
      </c>
      <c r="F102" s="17">
        <f>D102/B102*100</f>
        <v>71.22044423214713</v>
      </c>
      <c r="G102" s="17">
        <f aca="true" t="shared" si="14" ref="G102:G151">D102/C102*100</f>
        <v>26.683847413492263</v>
      </c>
      <c r="H102" s="64">
        <f aca="true" t="shared" si="15" ref="H102:H107">B102-D102</f>
        <v>1204.9999999999995</v>
      </c>
      <c r="I102" s="64">
        <f aca="true" t="shared" si="16" ref="I102:I151">C102-D102</f>
        <v>8193.3</v>
      </c>
      <c r="J102" s="93"/>
      <c r="K102" s="155"/>
    </row>
    <row r="103" spans="1:11" s="92" customFormat="1" ht="18.75" customHeight="1">
      <c r="A103" s="102" t="s">
        <v>3</v>
      </c>
      <c r="B103" s="119">
        <v>72.8</v>
      </c>
      <c r="C103" s="120">
        <v>363.8</v>
      </c>
      <c r="D103" s="120"/>
      <c r="E103" s="121">
        <f>D103/D102*100</f>
        <v>0</v>
      </c>
      <c r="F103" s="106">
        <f>D103/B103*100</f>
        <v>0</v>
      </c>
      <c r="G103" s="121">
        <f>D103/C103*100</f>
        <v>0</v>
      </c>
      <c r="H103" s="120">
        <f t="shared" si="15"/>
        <v>72.8</v>
      </c>
      <c r="I103" s="120">
        <f t="shared" si="16"/>
        <v>363.8</v>
      </c>
      <c r="K103" s="155"/>
    </row>
    <row r="104" spans="1:11" s="92" customFormat="1" ht="18">
      <c r="A104" s="122" t="s">
        <v>48</v>
      </c>
      <c r="B104" s="103">
        <f>3583.1-9.3-7.3</f>
        <v>3566.4999999999995</v>
      </c>
      <c r="C104" s="104">
        <f>8949.2-91.2</f>
        <v>8858</v>
      </c>
      <c r="D104" s="104">
        <f>144.4+120.5+0.1+30.9+51.6+143.7+13.5+25.2+149.6+13.2+89.8+139.7+98.3+5.4+242.1+58+85.3+255.7+143.8+288+14+143.1+279.2+72.1+105.1+85.1</f>
        <v>2797.3999999999996</v>
      </c>
      <c r="E104" s="106">
        <f>D104/D102*100</f>
        <v>93.80952380952378</v>
      </c>
      <c r="F104" s="106">
        <f aca="true" t="shared" si="17" ref="F104:F151">D104/B104*100</f>
        <v>78.43544090845367</v>
      </c>
      <c r="G104" s="106">
        <f t="shared" si="14"/>
        <v>31.580492210431245</v>
      </c>
      <c r="H104" s="104">
        <f t="shared" si="15"/>
        <v>769.0999999999999</v>
      </c>
      <c r="I104" s="104">
        <f t="shared" si="16"/>
        <v>6060.6</v>
      </c>
      <c r="K104" s="155"/>
    </row>
    <row r="105" spans="1:11" s="92" customFormat="1" ht="55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5"/>
    </row>
    <row r="106" spans="1:11" s="92" customFormat="1" ht="18.75" thickBot="1">
      <c r="A106" s="123" t="s">
        <v>27</v>
      </c>
      <c r="B106" s="124">
        <f>B102-B103-B104</f>
        <v>547.7000000000003</v>
      </c>
      <c r="C106" s="124">
        <f>C102-C103-C104</f>
        <v>1953.5</v>
      </c>
      <c r="D106" s="124">
        <f>D102-D103-D104</f>
        <v>184.60000000000082</v>
      </c>
      <c r="E106" s="125">
        <f>D106/D102*100</f>
        <v>6.190476190476217</v>
      </c>
      <c r="F106" s="125">
        <f t="shared" si="17"/>
        <v>33.70458280080349</v>
      </c>
      <c r="G106" s="125">
        <f t="shared" si="14"/>
        <v>9.449705656513991</v>
      </c>
      <c r="H106" s="126">
        <f>B106-D106</f>
        <v>363.09999999999945</v>
      </c>
      <c r="I106" s="126">
        <f t="shared" si="16"/>
        <v>1768.8999999999992</v>
      </c>
      <c r="K106" s="155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124727.80000000002</v>
      </c>
      <c r="C107" s="66">
        <f>SUM(C108:C150)-C115-C119+C151-C141-C142-C109-C112-C122-C123-C139-C132-C130-C137</f>
        <v>491868.4</v>
      </c>
      <c r="D107" s="66">
        <f>SUM(D108:D150)-D115-D119+D151-D141-D142-D109-D112-D122-D123-D139-D132-D130-D137</f>
        <v>59878.40000000001</v>
      </c>
      <c r="E107" s="67">
        <f>D107/D153*100</f>
        <v>12.427829285048642</v>
      </c>
      <c r="F107" s="67">
        <f>D107/B107*100</f>
        <v>48.00726061070587</v>
      </c>
      <c r="G107" s="67">
        <f t="shared" si="14"/>
        <v>12.173662711408175</v>
      </c>
      <c r="H107" s="66">
        <f t="shared" si="15"/>
        <v>64849.40000000001</v>
      </c>
      <c r="I107" s="66">
        <f t="shared" si="16"/>
        <v>431990</v>
      </c>
      <c r="J107" s="114"/>
      <c r="K107" s="155"/>
      <c r="L107" s="95"/>
    </row>
    <row r="108" spans="1:12" s="92" customFormat="1" ht="36.75">
      <c r="A108" s="96" t="s">
        <v>52</v>
      </c>
      <c r="B108" s="97">
        <v>1658.8</v>
      </c>
      <c r="C108" s="161">
        <v>4459</v>
      </c>
      <c r="D108" s="98">
        <f>17.1+81.1+17.3+60.5+173.3+3.4+2+0.4+29.3+1.7+177.1+0.8+38.8+139.8+0.3+1.9+1.8+6.5+136+91.3+0.1+1.8+1.1+2.4+3.5</f>
        <v>989.2999999999997</v>
      </c>
      <c r="E108" s="99">
        <f>D108/D107*100</f>
        <v>1.6521817550235136</v>
      </c>
      <c r="F108" s="99">
        <f t="shared" si="17"/>
        <v>59.63949843260187</v>
      </c>
      <c r="G108" s="99">
        <f t="shared" si="14"/>
        <v>22.186588921282794</v>
      </c>
      <c r="H108" s="100">
        <f>B108-D108</f>
        <v>669.5000000000002</v>
      </c>
      <c r="I108" s="100">
        <f t="shared" si="16"/>
        <v>3469.7000000000003</v>
      </c>
      <c r="K108" s="155"/>
      <c r="L108" s="101"/>
    </row>
    <row r="109" spans="1:12" s="92" customFormat="1" ht="18">
      <c r="A109" s="102" t="s">
        <v>25</v>
      </c>
      <c r="B109" s="103">
        <v>832.1</v>
      </c>
      <c r="C109" s="104">
        <v>1995</v>
      </c>
      <c r="D109" s="105">
        <f>47.8+0.9+59.7+88.3+0.1+59.2+38.8+107.4+24+91.1</f>
        <v>517.3000000000001</v>
      </c>
      <c r="E109" s="106">
        <f>D109/D108*100</f>
        <v>52.289497624583056</v>
      </c>
      <c r="F109" s="106">
        <f t="shared" si="17"/>
        <v>62.168008652806165</v>
      </c>
      <c r="G109" s="106">
        <f t="shared" si="14"/>
        <v>25.929824561403514</v>
      </c>
      <c r="H109" s="104">
        <f aca="true" t="shared" si="18" ref="H109:H151">B109-D109</f>
        <v>314.79999999999995</v>
      </c>
      <c r="I109" s="104">
        <f t="shared" si="16"/>
        <v>1477.6999999999998</v>
      </c>
      <c r="K109" s="155"/>
      <c r="L109" s="101"/>
    </row>
    <row r="110" spans="1:12" s="92" customFormat="1" ht="34.5" customHeight="1" hidden="1">
      <c r="A110" s="107" t="s">
        <v>78</v>
      </c>
      <c r="B110" s="108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5"/>
      <c r="L110" s="101"/>
    </row>
    <row r="111" spans="1:12" s="93" customFormat="1" ht="34.5" customHeight="1">
      <c r="A111" s="107" t="s">
        <v>93</v>
      </c>
      <c r="B111" s="108">
        <v>69.7</v>
      </c>
      <c r="C111" s="109">
        <v>200</v>
      </c>
      <c r="D111" s="110"/>
      <c r="E111" s="99">
        <f>D111/D107*100</f>
        <v>0</v>
      </c>
      <c r="F111" s="111">
        <f t="shared" si="17"/>
        <v>0</v>
      </c>
      <c r="G111" s="99">
        <f t="shared" si="14"/>
        <v>0</v>
      </c>
      <c r="H111" s="100">
        <f t="shared" si="18"/>
        <v>69.7</v>
      </c>
      <c r="I111" s="100">
        <f t="shared" si="16"/>
        <v>200</v>
      </c>
      <c r="K111" s="155"/>
      <c r="L111" s="101"/>
    </row>
    <row r="112" spans="1:12" s="92" customFormat="1" ht="18" hidden="1">
      <c r="A112" s="102" t="s">
        <v>25</v>
      </c>
      <c r="B112" s="103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5"/>
      <c r="L112" s="101"/>
    </row>
    <row r="113" spans="1:12" s="92" customFormat="1" ht="18">
      <c r="A113" s="107" t="s">
        <v>89</v>
      </c>
      <c r="B113" s="108">
        <v>25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25</v>
      </c>
      <c r="I113" s="100">
        <f t="shared" si="16"/>
        <v>64.3</v>
      </c>
      <c r="K113" s="155"/>
      <c r="L113" s="101"/>
    </row>
    <row r="114" spans="1:12" s="92" customFormat="1" ht="36.75">
      <c r="A114" s="107" t="s">
        <v>38</v>
      </c>
      <c r="B114" s="108">
        <v>1123.6</v>
      </c>
      <c r="C114" s="100">
        <v>3311.5</v>
      </c>
      <c r="D114" s="98">
        <f>136.4+10+40+6.6+6.1+0.2+177.4+10+1.8+25.1+29.4+48.1+8.1+193.1+10+0.1+17.8</f>
        <v>720.2</v>
      </c>
      <c r="E114" s="99">
        <f>D114/D107*100</f>
        <v>1.202770949123557</v>
      </c>
      <c r="F114" s="99">
        <f t="shared" si="17"/>
        <v>64.09754360982556</v>
      </c>
      <c r="G114" s="99">
        <f t="shared" si="14"/>
        <v>21.748452362977506</v>
      </c>
      <c r="H114" s="100">
        <f t="shared" si="18"/>
        <v>403.39999999999986</v>
      </c>
      <c r="I114" s="100">
        <f t="shared" si="16"/>
        <v>2591.3</v>
      </c>
      <c r="K114" s="155"/>
      <c r="L114" s="101"/>
    </row>
    <row r="115" spans="1:12" s="92" customFormat="1" ht="18" hidden="1">
      <c r="A115" s="112" t="s">
        <v>43</v>
      </c>
      <c r="B115" s="103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5"/>
      <c r="L115" s="101"/>
    </row>
    <row r="116" spans="1:12" s="93" customFormat="1" ht="18.75" customHeight="1" hidden="1">
      <c r="A116" s="107" t="s">
        <v>90</v>
      </c>
      <c r="B116" s="108"/>
      <c r="C116" s="109"/>
      <c r="D116" s="110"/>
      <c r="E116" s="113">
        <f>D116/D107*100</f>
        <v>0</v>
      </c>
      <c r="F116" s="99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5"/>
      <c r="L116" s="101"/>
    </row>
    <row r="117" spans="1:12" s="92" customFormat="1" ht="36.75">
      <c r="A117" s="107" t="s">
        <v>47</v>
      </c>
      <c r="B117" s="108">
        <v>145</v>
      </c>
      <c r="C117" s="100">
        <v>200</v>
      </c>
      <c r="D117" s="98"/>
      <c r="E117" s="99">
        <f>D117/D107*100</f>
        <v>0</v>
      </c>
      <c r="F117" s="99">
        <f>D117/B117*100</f>
        <v>0</v>
      </c>
      <c r="G117" s="99">
        <f t="shared" si="14"/>
        <v>0</v>
      </c>
      <c r="H117" s="100">
        <f t="shared" si="18"/>
        <v>145</v>
      </c>
      <c r="I117" s="100">
        <f t="shared" si="16"/>
        <v>200</v>
      </c>
      <c r="K117" s="155"/>
      <c r="L117" s="101"/>
    </row>
    <row r="118" spans="1:12" s="114" customFormat="1" ht="18">
      <c r="A118" s="107" t="s">
        <v>15</v>
      </c>
      <c r="B118" s="108">
        <v>208.7</v>
      </c>
      <c r="C118" s="109">
        <v>491.6</v>
      </c>
      <c r="D118" s="98">
        <f>45.4+9.9+47+6.4+0.4+0.4+45.4</f>
        <v>154.9</v>
      </c>
      <c r="E118" s="99">
        <f>D118/D107*100</f>
        <v>0.25869094698589135</v>
      </c>
      <c r="F118" s="99">
        <f t="shared" si="17"/>
        <v>74.22137038811692</v>
      </c>
      <c r="G118" s="99">
        <f t="shared" si="14"/>
        <v>31.5093572009764</v>
      </c>
      <c r="H118" s="100">
        <f t="shared" si="18"/>
        <v>53.79999999999998</v>
      </c>
      <c r="I118" s="100">
        <f t="shared" si="16"/>
        <v>336.70000000000005</v>
      </c>
      <c r="K118" s="155"/>
      <c r="L118" s="101"/>
    </row>
    <row r="119" spans="1:12" s="115" customFormat="1" ht="18">
      <c r="A119" s="112" t="s">
        <v>43</v>
      </c>
      <c r="B119" s="103">
        <v>181.7</v>
      </c>
      <c r="C119" s="104">
        <v>408.8</v>
      </c>
      <c r="D119" s="105">
        <f>45.4+45.4+45.4</f>
        <v>136.2</v>
      </c>
      <c r="E119" s="106">
        <f>D119/D118*100</f>
        <v>87.9276952872821</v>
      </c>
      <c r="F119" s="106">
        <f t="shared" si="17"/>
        <v>74.95872317006054</v>
      </c>
      <c r="G119" s="106">
        <f t="shared" si="14"/>
        <v>33.31702544031311</v>
      </c>
      <c r="H119" s="104">
        <f t="shared" si="18"/>
        <v>45.5</v>
      </c>
      <c r="I119" s="104">
        <f t="shared" si="16"/>
        <v>272.6</v>
      </c>
      <c r="K119" s="155"/>
      <c r="L119" s="101"/>
    </row>
    <row r="120" spans="1:12" s="114" customFormat="1" ht="18">
      <c r="A120" s="107" t="s">
        <v>105</v>
      </c>
      <c r="B120" s="108">
        <v>50</v>
      </c>
      <c r="C120" s="109">
        <v>317</v>
      </c>
      <c r="D120" s="98"/>
      <c r="E120" s="99">
        <f>D120/D107*100</f>
        <v>0</v>
      </c>
      <c r="F120" s="99">
        <f t="shared" si="17"/>
        <v>0</v>
      </c>
      <c r="G120" s="99">
        <f t="shared" si="14"/>
        <v>0</v>
      </c>
      <c r="H120" s="100">
        <f t="shared" si="18"/>
        <v>50</v>
      </c>
      <c r="I120" s="100">
        <f t="shared" si="16"/>
        <v>317</v>
      </c>
      <c r="K120" s="155"/>
      <c r="L120" s="101"/>
    </row>
    <row r="121" spans="1:12" s="114" customFormat="1" ht="21.75" customHeight="1">
      <c r="A121" s="107" t="s">
        <v>94</v>
      </c>
      <c r="B121" s="108">
        <v>460</v>
      </c>
      <c r="C121" s="109">
        <f>480+80</f>
        <v>560</v>
      </c>
      <c r="D121" s="110">
        <f>12</f>
        <v>12</v>
      </c>
      <c r="E121" s="113">
        <f>D121/D107*100</f>
        <v>0.020040615647712694</v>
      </c>
      <c r="F121" s="99">
        <f t="shared" si="17"/>
        <v>2.608695652173913</v>
      </c>
      <c r="G121" s="99">
        <f t="shared" si="14"/>
        <v>2.142857142857143</v>
      </c>
      <c r="H121" s="100">
        <f t="shared" si="18"/>
        <v>448</v>
      </c>
      <c r="I121" s="100">
        <f t="shared" si="16"/>
        <v>548</v>
      </c>
      <c r="K121" s="155"/>
      <c r="L121" s="101"/>
    </row>
    <row r="122" spans="1:12" s="117" customFormat="1" ht="18" hidden="1">
      <c r="A122" s="102" t="s">
        <v>80</v>
      </c>
      <c r="B122" s="103"/>
      <c r="C122" s="104"/>
      <c r="D122" s="105"/>
      <c r="E122" s="99"/>
      <c r="F122" s="116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5"/>
      <c r="L122" s="101"/>
    </row>
    <row r="123" spans="1:12" s="117" customFormat="1" ht="18" hidden="1">
      <c r="A123" s="102" t="s">
        <v>49</v>
      </c>
      <c r="B123" s="103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5"/>
      <c r="L123" s="101"/>
    </row>
    <row r="124" spans="1:12" s="114" customFormat="1" ht="36.75">
      <c r="A124" s="107" t="s">
        <v>95</v>
      </c>
      <c r="B124" s="108">
        <f>15009.1+1622.3</f>
        <v>16631.4</v>
      </c>
      <c r="C124" s="109">
        <v>45511.3</v>
      </c>
      <c r="D124" s="110">
        <f>3529.6+2264.3+1265.3+2996.5+533.1+738.7+2380.2+1722.3</f>
        <v>15430</v>
      </c>
      <c r="E124" s="113">
        <f>D124/D107*100</f>
        <v>25.768891620350576</v>
      </c>
      <c r="F124" s="99">
        <f t="shared" si="17"/>
        <v>92.77631468186682</v>
      </c>
      <c r="G124" s="99">
        <f t="shared" si="14"/>
        <v>33.90366788028468</v>
      </c>
      <c r="H124" s="100">
        <f t="shared" si="18"/>
        <v>1201.4000000000015</v>
      </c>
      <c r="I124" s="100">
        <f t="shared" si="16"/>
        <v>30081.300000000003</v>
      </c>
      <c r="K124" s="155"/>
      <c r="L124" s="101"/>
    </row>
    <row r="125" spans="1:12" s="114" customFormat="1" ht="18">
      <c r="A125" s="107" t="s">
        <v>91</v>
      </c>
      <c r="B125" s="108">
        <v>79.4</v>
      </c>
      <c r="C125" s="109">
        <v>700</v>
      </c>
      <c r="D125" s="110"/>
      <c r="E125" s="113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79.4</v>
      </c>
      <c r="I125" s="100">
        <f t="shared" si="16"/>
        <v>700</v>
      </c>
      <c r="K125" s="155"/>
      <c r="L125" s="101"/>
    </row>
    <row r="126" spans="1:12" s="114" customFormat="1" ht="36.75">
      <c r="A126" s="107" t="s">
        <v>100</v>
      </c>
      <c r="B126" s="108">
        <v>160</v>
      </c>
      <c r="C126" s="109">
        <v>200</v>
      </c>
      <c r="D126" s="110"/>
      <c r="E126" s="113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160</v>
      </c>
      <c r="I126" s="100">
        <f t="shared" si="16"/>
        <v>200</v>
      </c>
      <c r="K126" s="155"/>
      <c r="L126" s="101"/>
    </row>
    <row r="127" spans="1:12" s="114" customFormat="1" ht="36.75">
      <c r="A127" s="107" t="s">
        <v>85</v>
      </c>
      <c r="B127" s="108">
        <v>74</v>
      </c>
      <c r="C127" s="109">
        <f>111.1</f>
        <v>111.1</v>
      </c>
      <c r="D127" s="110"/>
      <c r="E127" s="113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5"/>
      <c r="L127" s="101"/>
    </row>
    <row r="128" spans="1:12" s="114" customFormat="1" ht="18" hidden="1">
      <c r="A128" s="112" t="s">
        <v>83</v>
      </c>
      <c r="B128" s="108"/>
      <c r="C128" s="109"/>
      <c r="D128" s="110"/>
      <c r="E128" s="113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5"/>
      <c r="L128" s="101"/>
    </row>
    <row r="129" spans="1:12" s="114" customFormat="1" ht="36.75">
      <c r="A129" s="107" t="s">
        <v>57</v>
      </c>
      <c r="B129" s="108">
        <v>218.8</v>
      </c>
      <c r="C129" s="109">
        <v>942</v>
      </c>
      <c r="D129" s="110">
        <f>7+4.2+0.1+12.3+0.2+7.1+17.8+14.9+1.7+0.1+7.4+7+2.7+3.7</f>
        <v>86.2</v>
      </c>
      <c r="E129" s="113">
        <f>D129/D107*100</f>
        <v>0.1439584224027362</v>
      </c>
      <c r="F129" s="99">
        <f t="shared" si="17"/>
        <v>39.39670932358318</v>
      </c>
      <c r="G129" s="99">
        <f t="shared" si="14"/>
        <v>9.150743099787686</v>
      </c>
      <c r="H129" s="100">
        <f t="shared" si="18"/>
        <v>132.60000000000002</v>
      </c>
      <c r="I129" s="100">
        <f t="shared" si="16"/>
        <v>855.8</v>
      </c>
      <c r="K129" s="155"/>
      <c r="L129" s="101"/>
    </row>
    <row r="130" spans="1:12" s="115" customFormat="1" ht="18">
      <c r="A130" s="102" t="s">
        <v>88</v>
      </c>
      <c r="B130" s="103">
        <v>42.4</v>
      </c>
      <c r="C130" s="104">
        <v>510.8</v>
      </c>
      <c r="D130" s="105">
        <f>7+7.1+7</f>
        <v>21.1</v>
      </c>
      <c r="E130" s="106">
        <f>D130/D129*100</f>
        <v>24.477958236658935</v>
      </c>
      <c r="F130" s="106">
        <f>D130/B130*100</f>
        <v>49.76415094339623</v>
      </c>
      <c r="G130" s="106">
        <f t="shared" si="14"/>
        <v>4.1307752545027405</v>
      </c>
      <c r="H130" s="104">
        <f t="shared" si="18"/>
        <v>21.299999999999997</v>
      </c>
      <c r="I130" s="104">
        <f t="shared" si="16"/>
        <v>489.7</v>
      </c>
      <c r="K130" s="155"/>
      <c r="L130" s="101"/>
    </row>
    <row r="131" spans="1:12" s="114" customFormat="1" ht="36.75">
      <c r="A131" s="107" t="s">
        <v>103</v>
      </c>
      <c r="B131" s="108">
        <v>110</v>
      </c>
      <c r="C131" s="109">
        <v>485</v>
      </c>
      <c r="D131" s="110"/>
      <c r="E131" s="113">
        <f>D131/D107*100</f>
        <v>0</v>
      </c>
      <c r="F131" s="111">
        <f t="shared" si="17"/>
        <v>0</v>
      </c>
      <c r="G131" s="99">
        <f t="shared" si="14"/>
        <v>0</v>
      </c>
      <c r="H131" s="100">
        <f t="shared" si="18"/>
        <v>110</v>
      </c>
      <c r="I131" s="100">
        <f t="shared" si="16"/>
        <v>485</v>
      </c>
      <c r="K131" s="155"/>
      <c r="L131" s="101"/>
    </row>
    <row r="132" spans="1:12" s="115" customFormat="1" ht="18" hidden="1">
      <c r="A132" s="112" t="s">
        <v>43</v>
      </c>
      <c r="B132" s="103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5"/>
      <c r="L132" s="101"/>
    </row>
    <row r="133" spans="1:12" s="114" customFormat="1" ht="35.25" customHeight="1" hidden="1">
      <c r="A133" s="107" t="s">
        <v>102</v>
      </c>
      <c r="B133" s="108"/>
      <c r="C133" s="109"/>
      <c r="D133" s="110"/>
      <c r="E133" s="113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5"/>
      <c r="L133" s="101"/>
    </row>
    <row r="134" spans="1:12" s="114" customFormat="1" ht="21.75" customHeight="1" hidden="1">
      <c r="A134" s="107" t="s">
        <v>101</v>
      </c>
      <c r="B134" s="108"/>
      <c r="C134" s="109"/>
      <c r="D134" s="110"/>
      <c r="E134" s="113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5"/>
      <c r="L134" s="101"/>
    </row>
    <row r="135" spans="1:12" s="114" customFormat="1" ht="35.25" customHeight="1">
      <c r="A135" s="107" t="s">
        <v>87</v>
      </c>
      <c r="B135" s="108">
        <v>105</v>
      </c>
      <c r="C135" s="109">
        <v>383.2</v>
      </c>
      <c r="D135" s="110">
        <f>2.9+1.5</f>
        <v>4.4</v>
      </c>
      <c r="E135" s="113">
        <f>D135/D107*100</f>
        <v>0.007348225737494655</v>
      </c>
      <c r="F135" s="99">
        <f t="shared" si="17"/>
        <v>4.190476190476191</v>
      </c>
      <c r="G135" s="99">
        <f t="shared" si="14"/>
        <v>1.1482254697286014</v>
      </c>
      <c r="H135" s="100">
        <f t="shared" si="18"/>
        <v>100.6</v>
      </c>
      <c r="I135" s="100">
        <f t="shared" si="16"/>
        <v>378.8</v>
      </c>
      <c r="K135" s="155"/>
      <c r="L135" s="101"/>
    </row>
    <row r="136" spans="1:12" s="114" customFormat="1" ht="39" customHeight="1">
      <c r="A136" s="107" t="s">
        <v>54</v>
      </c>
      <c r="B136" s="108">
        <v>40</v>
      </c>
      <c r="C136" s="109">
        <v>350</v>
      </c>
      <c r="D136" s="110"/>
      <c r="E136" s="113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40</v>
      </c>
      <c r="I136" s="100">
        <f t="shared" si="16"/>
        <v>350</v>
      </c>
      <c r="K136" s="155"/>
      <c r="L136" s="101"/>
    </row>
    <row r="137" spans="1:12" s="115" customFormat="1" ht="18">
      <c r="A137" s="102" t="s">
        <v>88</v>
      </c>
      <c r="B137" s="103">
        <v>15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15</v>
      </c>
      <c r="I137" s="104">
        <f>C137-D137</f>
        <v>110</v>
      </c>
      <c r="K137" s="155"/>
      <c r="L137" s="101"/>
    </row>
    <row r="138" spans="1:12" s="114" customFormat="1" ht="32.25" customHeight="1">
      <c r="A138" s="107" t="s">
        <v>84</v>
      </c>
      <c r="B138" s="108">
        <v>263.3</v>
      </c>
      <c r="C138" s="109">
        <v>607.7</v>
      </c>
      <c r="D138" s="110">
        <f>76+0.3+41+44+1.8</f>
        <v>163.10000000000002</v>
      </c>
      <c r="E138" s="113">
        <f>D138/D107*100</f>
        <v>0.2723853676784951</v>
      </c>
      <c r="F138" s="99">
        <f>D138/B138*100</f>
        <v>61.94454994303077</v>
      </c>
      <c r="G138" s="99">
        <f>D138/C138*100</f>
        <v>26.838900773407932</v>
      </c>
      <c r="H138" s="100">
        <f t="shared" si="18"/>
        <v>100.19999999999999</v>
      </c>
      <c r="I138" s="100">
        <f t="shared" si="16"/>
        <v>444.6</v>
      </c>
      <c r="K138" s="155"/>
      <c r="L138" s="101"/>
    </row>
    <row r="139" spans="1:12" s="115" customFormat="1" ht="18">
      <c r="A139" s="102" t="s">
        <v>25</v>
      </c>
      <c r="B139" s="103">
        <v>220.2</v>
      </c>
      <c r="C139" s="104">
        <v>489.6</v>
      </c>
      <c r="D139" s="105">
        <f>76+37.6+44</f>
        <v>157.6</v>
      </c>
      <c r="E139" s="106">
        <f>D139/D138*100</f>
        <v>96.62783568362966</v>
      </c>
      <c r="F139" s="106">
        <f t="shared" si="17"/>
        <v>71.57129881925522</v>
      </c>
      <c r="G139" s="106">
        <f>D139/C139*100</f>
        <v>32.18954248366013</v>
      </c>
      <c r="H139" s="104">
        <f t="shared" si="18"/>
        <v>62.599999999999994</v>
      </c>
      <c r="I139" s="104">
        <f t="shared" si="16"/>
        <v>332</v>
      </c>
      <c r="K139" s="155"/>
      <c r="L139" s="101"/>
    </row>
    <row r="140" spans="1:12" s="114" customFormat="1" ht="18">
      <c r="A140" s="107" t="s">
        <v>96</v>
      </c>
      <c r="B140" s="108">
        <v>570.2</v>
      </c>
      <c r="C140" s="109">
        <v>1760</v>
      </c>
      <c r="D140" s="110">
        <f>107.3+0.4+30.4+78.2+4.1+36.9+117.9+50.5</f>
        <v>425.70000000000005</v>
      </c>
      <c r="E140" s="113">
        <f>D140/D107*100</f>
        <v>0.7109408401026079</v>
      </c>
      <c r="F140" s="99">
        <f t="shared" si="17"/>
        <v>74.65801473167309</v>
      </c>
      <c r="G140" s="99">
        <f t="shared" si="14"/>
        <v>24.187500000000004</v>
      </c>
      <c r="H140" s="100">
        <f t="shared" si="18"/>
        <v>144.5</v>
      </c>
      <c r="I140" s="100">
        <f t="shared" si="16"/>
        <v>1334.3</v>
      </c>
      <c r="K140" s="174"/>
      <c r="L140" s="175"/>
    </row>
    <row r="141" spans="1:12" s="115" customFormat="1" ht="18">
      <c r="A141" s="112" t="s">
        <v>43</v>
      </c>
      <c r="B141" s="103">
        <v>459.3</v>
      </c>
      <c r="C141" s="104">
        <v>1437.4</v>
      </c>
      <c r="D141" s="105">
        <f>107.3+25.4+76+34+76.6+47.2</f>
        <v>366.49999999999994</v>
      </c>
      <c r="E141" s="106">
        <f>D141/D140*100</f>
        <v>86.09349307023723</v>
      </c>
      <c r="F141" s="106">
        <f aca="true" t="shared" si="19" ref="F141:F150">D141/B141*100</f>
        <v>79.79534073590244</v>
      </c>
      <c r="G141" s="106">
        <f t="shared" si="14"/>
        <v>25.497425907889237</v>
      </c>
      <c r="H141" s="104">
        <f t="shared" si="18"/>
        <v>92.80000000000007</v>
      </c>
      <c r="I141" s="104">
        <f t="shared" si="16"/>
        <v>1070.9</v>
      </c>
      <c r="K141" s="174"/>
      <c r="L141" s="175"/>
    </row>
    <row r="142" spans="1:13" s="115" customFormat="1" ht="18">
      <c r="A142" s="102" t="s">
        <v>25</v>
      </c>
      <c r="B142" s="103">
        <v>26.2</v>
      </c>
      <c r="C142" s="104">
        <v>40</v>
      </c>
      <c r="D142" s="105">
        <f>0.4+4.9+0.7+4.7+3.3</f>
        <v>14</v>
      </c>
      <c r="E142" s="106">
        <f>D142/D140*100</f>
        <v>3.2887009631195676</v>
      </c>
      <c r="F142" s="106">
        <f t="shared" si="19"/>
        <v>53.43511450381679</v>
      </c>
      <c r="G142" s="106">
        <f>D142/C142*100</f>
        <v>35</v>
      </c>
      <c r="H142" s="104">
        <f t="shared" si="18"/>
        <v>12.2</v>
      </c>
      <c r="I142" s="104">
        <f t="shared" si="16"/>
        <v>26</v>
      </c>
      <c r="K142" s="174"/>
      <c r="L142" s="175"/>
      <c r="M142" s="156"/>
    </row>
    <row r="143" spans="1:12" s="114" customFormat="1" ht="33.75" customHeight="1" hidden="1">
      <c r="A143" s="118" t="s">
        <v>56</v>
      </c>
      <c r="B143" s="108"/>
      <c r="C143" s="109"/>
      <c r="D143" s="110"/>
      <c r="E143" s="113">
        <f>D143/D107*100</f>
        <v>0</v>
      </c>
      <c r="F143" s="99" t="e">
        <f t="shared" si="19"/>
        <v>#DIV/0!</v>
      </c>
      <c r="G143" s="99" t="e">
        <f t="shared" si="14"/>
        <v>#DIV/0!</v>
      </c>
      <c r="H143" s="100">
        <f t="shared" si="18"/>
        <v>0</v>
      </c>
      <c r="I143" s="100">
        <f t="shared" si="16"/>
        <v>0</v>
      </c>
      <c r="K143" s="174"/>
      <c r="L143" s="175"/>
    </row>
    <row r="144" spans="1:12" s="114" customFormat="1" ht="18" hidden="1">
      <c r="A144" s="118" t="s">
        <v>92</v>
      </c>
      <c r="B144" s="108"/>
      <c r="C144" s="109"/>
      <c r="D144" s="110"/>
      <c r="E144" s="113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4"/>
      <c r="L144" s="175"/>
    </row>
    <row r="145" spans="1:12" s="114" customFormat="1" ht="18">
      <c r="A145" s="118" t="s">
        <v>97</v>
      </c>
      <c r="B145" s="108">
        <f>14516.5-1122.3</f>
        <v>13394.2</v>
      </c>
      <c r="C145" s="109">
        <f>56447.1-100+1500</f>
        <v>57847.1</v>
      </c>
      <c r="D145" s="110">
        <f>254.7+197.5+629.8+725.8+539.8+84+74.2+508.7+16.5+120.5+1481.6+832.6+99.5+375.2+120.4</f>
        <v>6060.799999999999</v>
      </c>
      <c r="E145" s="113">
        <f>D145/D107*100</f>
        <v>10.121846943138092</v>
      </c>
      <c r="F145" s="99">
        <f t="shared" si="19"/>
        <v>45.24943632318465</v>
      </c>
      <c r="G145" s="99">
        <f t="shared" si="14"/>
        <v>10.477275438180996</v>
      </c>
      <c r="H145" s="100">
        <f t="shared" si="18"/>
        <v>7333.4000000000015</v>
      </c>
      <c r="I145" s="100">
        <f t="shared" si="16"/>
        <v>51786.3</v>
      </c>
      <c r="K145" s="174"/>
      <c r="L145" s="175"/>
    </row>
    <row r="146" spans="1:12" s="114" customFormat="1" ht="18" hidden="1">
      <c r="A146" s="118" t="s">
        <v>86</v>
      </c>
      <c r="B146" s="108"/>
      <c r="C146" s="109"/>
      <c r="D146" s="110"/>
      <c r="E146" s="113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4"/>
      <c r="L146" s="175"/>
    </row>
    <row r="147" spans="1:12" s="114" customFormat="1" ht="36.75" hidden="1">
      <c r="A147" s="118" t="s">
        <v>104</v>
      </c>
      <c r="B147" s="108"/>
      <c r="C147" s="109"/>
      <c r="D147" s="110"/>
      <c r="E147" s="113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4"/>
      <c r="L147" s="175"/>
    </row>
    <row r="148" spans="1:12" s="114" customFormat="1" ht="18">
      <c r="A148" s="107" t="s">
        <v>98</v>
      </c>
      <c r="B148" s="108">
        <v>46.4</v>
      </c>
      <c r="C148" s="109">
        <v>162.3</v>
      </c>
      <c r="D148" s="110">
        <f>46.4</f>
        <v>46.4</v>
      </c>
      <c r="E148" s="113">
        <f>D148/D107*100</f>
        <v>0.07749038050448909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4"/>
      <c r="L148" s="175"/>
    </row>
    <row r="149" spans="1:12" s="114" customFormat="1" ht="18" customHeight="1">
      <c r="A149" s="107" t="s">
        <v>77</v>
      </c>
      <c r="B149" s="108">
        <v>4460.2</v>
      </c>
      <c r="C149" s="109">
        <f>10563.8+657.7</f>
        <v>11221.5</v>
      </c>
      <c r="D149" s="110">
        <f>791.9+575.3+777.6+830.9+722.1</f>
        <v>3697.7999999999997</v>
      </c>
      <c r="E149" s="113">
        <f>D149/D107*100</f>
        <v>6.1755157118426665</v>
      </c>
      <c r="F149" s="99">
        <f t="shared" si="19"/>
        <v>82.90659611676607</v>
      </c>
      <c r="G149" s="99">
        <f t="shared" si="14"/>
        <v>32.9528137949472</v>
      </c>
      <c r="H149" s="100">
        <f t="shared" si="18"/>
        <v>762.4000000000001</v>
      </c>
      <c r="I149" s="100">
        <f t="shared" si="16"/>
        <v>7523.700000000001</v>
      </c>
      <c r="K149" s="174"/>
      <c r="L149" s="175"/>
    </row>
    <row r="150" spans="1:12" s="114" customFormat="1" ht="19.5" customHeight="1">
      <c r="A150" s="148" t="s">
        <v>50</v>
      </c>
      <c r="B150" s="149">
        <f>70256.5+500</f>
        <v>70756.5</v>
      </c>
      <c r="C150" s="150">
        <f>321056.7-1304.9</f>
        <v>319751.8</v>
      </c>
      <c r="D150" s="151">
        <f>27.8+914.6+10874.2+1188.7+864.1+301.6+376.8+206.4+1075.1+354+2650.4+1522.6</f>
        <v>20356.3</v>
      </c>
      <c r="E150" s="152">
        <f>D150/D107*100</f>
        <v>33.996065359127826</v>
      </c>
      <c r="F150" s="153">
        <f t="shared" si="19"/>
        <v>28.76951234162232</v>
      </c>
      <c r="G150" s="153">
        <f t="shared" si="14"/>
        <v>6.3662815971638</v>
      </c>
      <c r="H150" s="154">
        <f t="shared" si="18"/>
        <v>50400.2</v>
      </c>
      <c r="I150" s="154">
        <f>C150-D150</f>
        <v>299395.5</v>
      </c>
      <c r="K150" s="174"/>
      <c r="L150" s="175"/>
    </row>
    <row r="151" spans="1:12" s="114" customFormat="1" ht="18">
      <c r="A151" s="107" t="s">
        <v>99</v>
      </c>
      <c r="B151" s="108">
        <v>14077.6</v>
      </c>
      <c r="C151" s="109">
        <v>42232</v>
      </c>
      <c r="D151" s="110">
        <f>819+819+819.1+1062.3+1173.1+1173.1+1173.2+1173.1+1173.1+1173.2+1173.1</f>
        <v>11731.300000000001</v>
      </c>
      <c r="E151" s="113">
        <f>D151/D107*100</f>
        <v>19.59187286233433</v>
      </c>
      <c r="F151" s="99">
        <f t="shared" si="17"/>
        <v>83.33309655054839</v>
      </c>
      <c r="G151" s="99">
        <f t="shared" si="14"/>
        <v>27.778225042621713</v>
      </c>
      <c r="H151" s="100">
        <f t="shared" si="18"/>
        <v>2346.2999999999993</v>
      </c>
      <c r="I151" s="100">
        <f t="shared" si="16"/>
        <v>30500.699999999997</v>
      </c>
      <c r="K151" s="174"/>
      <c r="L151" s="175"/>
    </row>
    <row r="152" spans="1:12" s="2" customFormat="1" ht="18.75" thickBot="1">
      <c r="A152" s="29" t="s">
        <v>29</v>
      </c>
      <c r="B152" s="62"/>
      <c r="C152" s="62"/>
      <c r="D152" s="43">
        <f>D43+D69+D72+D77+D79+D87+D102+D107+D100+D84+D98</f>
        <v>63221.50000000001</v>
      </c>
      <c r="E152" s="15"/>
      <c r="F152" s="15"/>
      <c r="G152" s="6"/>
      <c r="H152" s="51"/>
      <c r="I152" s="43"/>
      <c r="K152" s="174"/>
      <c r="L152" s="176"/>
    </row>
    <row r="153" spans="1:12" ht="18.75" thickBot="1">
      <c r="A153" s="12" t="s">
        <v>18</v>
      </c>
      <c r="B153" s="39">
        <f>B6+B18+B33+B43+B51+B59+B69+B72+B77+B79+B87+B90+B95+B102+B107+B100+B84+B98+B45</f>
        <v>662305.1000000001</v>
      </c>
      <c r="C153" s="39">
        <f>C6+C18+C33+C43+C51+C59+C69+C72+C77+C79+C87+C90+C95+C102+C107+C100+C84+C98+C45</f>
        <v>2108759.3</v>
      </c>
      <c r="D153" s="39">
        <f>D6+D18+D33+D43+D51+D59+D69+D72+D77+D79+D87+D90+D95+D102+D107+D100+D84+D98+D45</f>
        <v>481809</v>
      </c>
      <c r="E153" s="28">
        <v>100</v>
      </c>
      <c r="F153" s="3">
        <f>D153/B153*100</f>
        <v>72.74728822109327</v>
      </c>
      <c r="G153" s="3">
        <f aca="true" t="shared" si="20" ref="G153:G159">D153/C153*100</f>
        <v>22.847984594543345</v>
      </c>
      <c r="H153" s="39">
        <f aca="true" t="shared" si="21" ref="H153:H159">B153-D153</f>
        <v>180496.1000000001</v>
      </c>
      <c r="I153" s="39">
        <f aca="true" t="shared" si="22" ref="I153:I159">C153-D153</f>
        <v>1626950.2999999998</v>
      </c>
      <c r="K153" s="177"/>
      <c r="L153" s="178"/>
    </row>
    <row r="154" spans="1:12" ht="18">
      <c r="A154" s="16" t="s">
        <v>5</v>
      </c>
      <c r="B154" s="50">
        <f>B8+B20+B34+B52+B60+B91+B115+B119+B46+B141+B132+B103</f>
        <v>283412.7</v>
      </c>
      <c r="C154" s="50">
        <f>C8+C20+C34+C52+C60+C91+C115+C119+C46+C141+C132+C103</f>
        <v>898180.8</v>
      </c>
      <c r="D154" s="50">
        <f>D8+D20+D34+D52+D60+D91+D115+D119+D46+D141+D132+D103</f>
        <v>231892.41000000003</v>
      </c>
      <c r="E154" s="6">
        <f>D154/D153*100</f>
        <v>48.12953058162052</v>
      </c>
      <c r="F154" s="6">
        <f aca="true" t="shared" si="23" ref="F154:F159">D154/B154*100</f>
        <v>81.82146036504363</v>
      </c>
      <c r="G154" s="6">
        <f t="shared" si="20"/>
        <v>25.818010137825258</v>
      </c>
      <c r="H154" s="51">
        <f t="shared" si="21"/>
        <v>51520.28999999998</v>
      </c>
      <c r="I154" s="61">
        <f t="shared" si="22"/>
        <v>666288.39</v>
      </c>
      <c r="K154" s="174"/>
      <c r="L154" s="178"/>
    </row>
    <row r="155" spans="1:12" ht="18">
      <c r="A155" s="16" t="s">
        <v>0</v>
      </c>
      <c r="B155" s="51">
        <f>B11+B23+B36+B55+B62+B92+B49+B142+B109+B112+B96+B139+B128</f>
        <v>58505.2</v>
      </c>
      <c r="C155" s="51">
        <f>C11+C23+C36+C55+C62+C92+C49+C142+C109+C112+C96+C139+C128</f>
        <v>110563.99999999999</v>
      </c>
      <c r="D155" s="51">
        <f>D11+D23+D36+D55+D62+D92+D49+D142+D109+D112+D96+D139+D128</f>
        <v>47374.5</v>
      </c>
      <c r="E155" s="6">
        <f>D155/D153*100</f>
        <v>9.832630772775104</v>
      </c>
      <c r="F155" s="6">
        <f t="shared" si="23"/>
        <v>80.97485351729419</v>
      </c>
      <c r="G155" s="6">
        <f t="shared" si="20"/>
        <v>42.84803371802757</v>
      </c>
      <c r="H155" s="51">
        <f>B155-D155</f>
        <v>11130.699999999997</v>
      </c>
      <c r="I155" s="61">
        <f t="shared" si="22"/>
        <v>63189.499999999985</v>
      </c>
      <c r="K155" s="174"/>
      <c r="L155" s="179"/>
    </row>
    <row r="156" spans="1:12" ht="18">
      <c r="A156" s="16" t="s">
        <v>1</v>
      </c>
      <c r="B156" s="50">
        <f>B22+B10+B54+B48+B61+B35+B123</f>
        <v>15644.699999999999</v>
      </c>
      <c r="C156" s="50">
        <f>C22+C10+C54+C48+C61+C35+C123</f>
        <v>45935.1</v>
      </c>
      <c r="D156" s="50">
        <f>D22+D10+D54+D48+D61+D35+D123</f>
        <v>7966.199999999999</v>
      </c>
      <c r="E156" s="6">
        <f>D156/D153*100</f>
        <v>1.653393772220942</v>
      </c>
      <c r="F156" s="6">
        <f t="shared" si="23"/>
        <v>50.91948071870984</v>
      </c>
      <c r="G156" s="6">
        <f t="shared" si="20"/>
        <v>17.342293801472074</v>
      </c>
      <c r="H156" s="51">
        <f t="shared" si="21"/>
        <v>7678.5</v>
      </c>
      <c r="I156" s="61">
        <f t="shared" si="22"/>
        <v>37968.9</v>
      </c>
      <c r="K156" s="174"/>
      <c r="L156" s="178"/>
    </row>
    <row r="157" spans="1:12" ht="21" customHeight="1">
      <c r="A157" s="16" t="s">
        <v>14</v>
      </c>
      <c r="B157" s="50">
        <f>B12+B24+B104+B63+B38+B93+B130+B56+B137</f>
        <v>8418.699999999999</v>
      </c>
      <c r="C157" s="50">
        <f>C12+C24+C104+C63+C38+C93+C130+C56+C137</f>
        <v>28484.199999999997</v>
      </c>
      <c r="D157" s="50">
        <f>D12+D24+D104+D63+D38+D93+D130+D56+D137</f>
        <v>6909.099999999999</v>
      </c>
      <c r="E157" s="6">
        <f>D157/D153*100</f>
        <v>1.433991477950806</v>
      </c>
      <c r="F157" s="6">
        <f t="shared" si="23"/>
        <v>82.06849038450117</v>
      </c>
      <c r="G157" s="6">
        <f t="shared" si="20"/>
        <v>24.25590327269153</v>
      </c>
      <c r="H157" s="51">
        <f>B157-D157</f>
        <v>1509.5999999999995</v>
      </c>
      <c r="I157" s="61">
        <f t="shared" si="22"/>
        <v>21575.1</v>
      </c>
      <c r="K157" s="174"/>
      <c r="L157" s="179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8.8</v>
      </c>
      <c r="E158" s="6">
        <f>D158/D153*100</f>
        <v>0.0018264499002716846</v>
      </c>
      <c r="F158" s="6">
        <f t="shared" si="23"/>
        <v>27.848101265822784</v>
      </c>
      <c r="G158" s="6">
        <f t="shared" si="20"/>
        <v>7.780725022104333</v>
      </c>
      <c r="H158" s="51">
        <f t="shared" si="21"/>
        <v>22.8</v>
      </c>
      <c r="I158" s="61">
        <f t="shared" si="22"/>
        <v>104.30000000000001</v>
      </c>
      <c r="K158" s="174"/>
      <c r="L158" s="178"/>
    </row>
    <row r="159" spans="1:12" ht="18.75" thickBot="1">
      <c r="A159" s="87" t="s">
        <v>27</v>
      </c>
      <c r="B159" s="63">
        <f>B153-B154-B155-B156-B157-B158</f>
        <v>296292.20000000007</v>
      </c>
      <c r="C159" s="63">
        <f>C153-C154-C155-C156-C157-C158</f>
        <v>1025482.0999999997</v>
      </c>
      <c r="D159" s="63">
        <f>D153-D154-D155-D156-D157-D158</f>
        <v>187657.98999999996</v>
      </c>
      <c r="E159" s="31">
        <f>D159/D153*100</f>
        <v>38.94862694553235</v>
      </c>
      <c r="F159" s="31">
        <f t="shared" si="23"/>
        <v>63.33544723755803</v>
      </c>
      <c r="G159" s="31">
        <f t="shared" si="20"/>
        <v>18.29948957665863</v>
      </c>
      <c r="H159" s="88">
        <f t="shared" si="21"/>
        <v>108634.21000000011</v>
      </c>
      <c r="I159" s="88">
        <f t="shared" si="22"/>
        <v>837824.1099999998</v>
      </c>
      <c r="K159" s="155"/>
      <c r="L159" s="68"/>
    </row>
    <row r="160" spans="7:8" ht="12.75">
      <c r="G160" s="18"/>
      <c r="H160" s="18"/>
    </row>
    <row r="161" spans="3:11" ht="12.75">
      <c r="C161" s="155"/>
      <c r="G161" s="18"/>
      <c r="H161" s="18"/>
      <c r="I161" s="18"/>
      <c r="K161" s="94"/>
    </row>
    <row r="162" spans="7:11" ht="12.75">
      <c r="G162" s="18"/>
      <c r="H162" s="18"/>
      <c r="K162" s="94"/>
    </row>
    <row r="163" spans="7:11" ht="12.75">
      <c r="G163" s="18"/>
      <c r="H163" s="18"/>
      <c r="K163" s="94"/>
    </row>
    <row r="164" spans="4:8" ht="12.75">
      <c r="D164" s="155"/>
      <c r="G164" s="18"/>
      <c r="H164" s="18"/>
    </row>
    <row r="165" spans="2:8" ht="12.75">
      <c r="B165" s="159"/>
      <c r="C165" s="160"/>
      <c r="G165" s="18"/>
      <c r="H165" s="18"/>
    </row>
    <row r="166" spans="2:8" ht="12.75">
      <c r="B166" s="91"/>
      <c r="C166" s="91"/>
      <c r="D166" s="91"/>
      <c r="G166" s="18"/>
      <c r="H166" s="18"/>
    </row>
    <row r="167" spans="2:8" ht="12.75">
      <c r="B167" s="91"/>
      <c r="G167" s="18"/>
      <c r="H167" s="18"/>
    </row>
    <row r="168" spans="2:8" ht="12.75">
      <c r="B168" s="91"/>
      <c r="C168" s="155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5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481809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481809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2018-04-13T09:24:25Z</cp:lastPrinted>
  <dcterms:created xsi:type="dcterms:W3CDTF">2000-06-20T04:48:00Z</dcterms:created>
  <dcterms:modified xsi:type="dcterms:W3CDTF">2018-04-19T05:01:39Z</dcterms:modified>
  <cp:category/>
  <cp:version/>
  <cp:contentType/>
  <cp:contentStatus/>
</cp:coreProperties>
</file>